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firstSheet="4" activeTab="11"/>
  </bookViews>
  <sheets>
    <sheet name="январь 2010" sheetId="1" r:id="rId1"/>
    <sheet name="февраль 2010" sheetId="2" r:id="rId2"/>
    <sheet name="март 2010" sheetId="3" r:id="rId3"/>
    <sheet name="апрель 2010" sheetId="4" r:id="rId4"/>
    <sheet name="май 2010" sheetId="5" r:id="rId5"/>
    <sheet name="июнь 2010" sheetId="6" r:id="rId6"/>
    <sheet name="июль 2010" sheetId="7" r:id="rId7"/>
    <sheet name="август 2010" sheetId="8" r:id="rId8"/>
    <sheet name="сентябрь 2010" sheetId="9" r:id="rId9"/>
    <sheet name="октябрь 2010" sheetId="10" r:id="rId10"/>
    <sheet name="ноябрь 2010" sheetId="11" r:id="rId11"/>
    <sheet name="декабрь 2010" sheetId="12" r:id="rId12"/>
  </sheets>
  <definedNames>
    <definedName name="_xlnm.Print_Area" localSheetId="0">'январь 2010'!$A$1:$K$46</definedName>
  </definedNames>
  <calcPr fullCalcOnLoad="1"/>
</workbook>
</file>

<file path=xl/sharedStrings.xml><?xml version="1.0" encoding="utf-8"?>
<sst xmlns="http://schemas.openxmlformats.org/spreadsheetml/2006/main" count="1599" uniqueCount="113">
  <si>
    <t>с учетом присоединенных потребителей</t>
  </si>
  <si>
    <t>№ п/п</t>
  </si>
  <si>
    <t>Установленная мощность существующих трансформаторов (МВА)</t>
  </si>
  <si>
    <t>1T</t>
  </si>
  <si>
    <t>2T</t>
  </si>
  <si>
    <t>3T</t>
  </si>
  <si>
    <t>4T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</si>
  <si>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 (МВА)</t>
  </si>
  <si>
    <t>Наименование подстанции</t>
  </si>
  <si>
    <t xml:space="preserve">Уровни напряжения </t>
  </si>
  <si>
    <t>с учетом выданных технических условий</t>
  </si>
  <si>
    <t>1.</t>
  </si>
  <si>
    <t>№11 "Городская"</t>
  </si>
  <si>
    <t>110/35/10</t>
  </si>
  <si>
    <t>2.</t>
  </si>
  <si>
    <t>№10 "Южная"</t>
  </si>
  <si>
    <t>110/10</t>
  </si>
  <si>
    <t>3.</t>
  </si>
  <si>
    <t>№ 36 "Западная"</t>
  </si>
  <si>
    <t>4.</t>
  </si>
  <si>
    <t>№9 "Сукпак"</t>
  </si>
  <si>
    <t>5.</t>
  </si>
  <si>
    <t>№5 "Арыг-Узю"</t>
  </si>
  <si>
    <t>6.</t>
  </si>
  <si>
    <t>№8 "Шагонар"</t>
  </si>
  <si>
    <t>7.</t>
  </si>
  <si>
    <t>№13 "Бай-Хаак"</t>
  </si>
  <si>
    <t>8.</t>
  </si>
  <si>
    <t>№14 "Балгазын"</t>
  </si>
  <si>
    <t>9.</t>
  </si>
  <si>
    <t>№17 "Сут-Холь"</t>
  </si>
  <si>
    <t>10.</t>
  </si>
  <si>
    <t xml:space="preserve">№6 "Элегест" </t>
  </si>
  <si>
    <t>11.</t>
  </si>
  <si>
    <t>№7 "Хову-Аксы"</t>
  </si>
  <si>
    <t>12.</t>
  </si>
  <si>
    <t>№35 "Бурень-Бай-Хаак"</t>
  </si>
  <si>
    <t>13.</t>
  </si>
  <si>
    <t>№3 "Сарыг-Сеп"</t>
  </si>
  <si>
    <t>14.</t>
  </si>
  <si>
    <t>№19 "Кирп.завод"</t>
  </si>
  <si>
    <t>15.</t>
  </si>
  <si>
    <t>№42 "КОС"</t>
  </si>
  <si>
    <t>16.</t>
  </si>
  <si>
    <t>№24 "Чаа-Холь"</t>
  </si>
  <si>
    <t>35/10</t>
  </si>
  <si>
    <t>17.</t>
  </si>
  <si>
    <t>№15 "Самагалтай"</t>
  </si>
  <si>
    <t>18.</t>
  </si>
  <si>
    <t>№22 "Уюк"</t>
  </si>
  <si>
    <t>19.</t>
  </si>
  <si>
    <t>№23 "Торгалыг"</t>
  </si>
  <si>
    <t>20.</t>
  </si>
  <si>
    <t>№32 "Тээли"</t>
  </si>
  <si>
    <t>21.</t>
  </si>
  <si>
    <t>№25 "Птицефабрика"</t>
  </si>
  <si>
    <t>22.</t>
  </si>
  <si>
    <t>№26 "Хайыракан"</t>
  </si>
  <si>
    <t>23.</t>
  </si>
  <si>
    <t>№31 "Чыраа-Бажы"</t>
  </si>
  <si>
    <t>24.</t>
  </si>
  <si>
    <t>№2 "Зубовка"</t>
  </si>
  <si>
    <t>25.</t>
  </si>
  <si>
    <t>№37 "Баян-Кол"</t>
  </si>
  <si>
    <t>26.</t>
  </si>
  <si>
    <t>№12 "Суг-Бажы"</t>
  </si>
  <si>
    <t>27.</t>
  </si>
  <si>
    <t>№16 "Эрзын"</t>
  </si>
  <si>
    <t>28.</t>
  </si>
  <si>
    <t>№43 "Оо-Шынаа"</t>
  </si>
  <si>
    <t>29.</t>
  </si>
  <si>
    <t>№34 "Майналыг"</t>
  </si>
  <si>
    <t>30.</t>
  </si>
  <si>
    <t>№30 "Эрги-Барлыг"</t>
  </si>
  <si>
    <t>31.</t>
  </si>
  <si>
    <t>№39 "Дон-Терезин"</t>
  </si>
  <si>
    <t>32.</t>
  </si>
  <si>
    <t>№38 "Степная"</t>
  </si>
  <si>
    <t>33.</t>
  </si>
  <si>
    <t>№18 "Кызыл-Арыг"</t>
  </si>
  <si>
    <t>34.</t>
  </si>
  <si>
    <t>№1 "Ак-Довурак"</t>
  </si>
  <si>
    <t>220/110/35/6</t>
  </si>
  <si>
    <t>35.</t>
  </si>
  <si>
    <t>№4 "Чадан"</t>
  </si>
  <si>
    <t>220/110/10</t>
  </si>
  <si>
    <t>36.</t>
  </si>
  <si>
    <t>№40 "Туран"</t>
  </si>
  <si>
    <t>220/35/10</t>
  </si>
  <si>
    <t>37.</t>
  </si>
  <si>
    <t>№20 "Кызыл"</t>
  </si>
  <si>
    <t>220/110/35/10</t>
  </si>
  <si>
    <t>38.</t>
  </si>
  <si>
    <t>№28 "Хандагайты"</t>
  </si>
  <si>
    <t>Текущий резерв мощности для присоединения потребителей (по результатам контрольного замера зима  2010г.) (МВт) (28.01.10г)</t>
  </si>
  <si>
    <t>№21"Туран"</t>
  </si>
  <si>
    <t>№41"Балгазынская ОС"</t>
  </si>
  <si>
    <t>110/6,3/10</t>
  </si>
  <si>
    <t>Новая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</si>
  <si>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августа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</si>
  <si>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июля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</si>
  <si>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июня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</si>
  <si>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мая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</si>
  <si>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апреля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</si>
  <si>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марта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</si>
  <si>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февраля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</si>
  <si>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января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</si>
  <si>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сентября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</si>
  <si>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октября 2010 г.</t>
  </si>
  <si>
    <t>110/6</t>
  </si>
  <si>
    <t>Результаты замеров 28.01.2010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</si>
  <si>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ноября 2010 г.</t>
  </si>
  <si>
    <t>Сведения о наличии мощности, свободной для технологического присоединения к электрическим сетям филиала ОАО "МРС Сибири"/ ОАО "Тываэнерго" по состоянию на 31 декабря 2010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</si>
</sst>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&quot;р.&quot;"/>
    <numFmt numFmtId="172" formatCode="#,##0.0"/>
    <numFmt numFmtId="173" formatCode="d/mm/yyyy"/>
    <numFmt numFmtId="174" formatCode="0.0000"/>
  </numFmts>
  <fonts count="41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170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70" fontId="11" fillId="0" borderId="13" xfId="0" applyNumberFormat="1" applyFont="1" applyBorder="1" applyAlignment="1">
      <alignment horizontal="center"/>
    </xf>
    <xf numFmtId="170" fontId="11" fillId="0" borderId="1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170" fontId="11" fillId="0" borderId="16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174" fontId="11" fillId="0" borderId="11" xfId="0" applyNumberFormat="1" applyFont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7" xfId="53" applyFont="1" applyFill="1" applyBorder="1" applyAlignment="1" applyProtection="1">
      <alignment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9" xfId="54" applyFont="1" applyFill="1" applyBorder="1" applyAlignment="1" applyProtection="1">
      <alignment horizontal="center" vertical="center" wrapText="1"/>
      <protection locked="0"/>
    </xf>
    <xf numFmtId="169" fontId="3" fillId="0" borderId="20" xfId="53" applyNumberFormat="1" applyFont="1" applyFill="1" applyBorder="1" applyAlignment="1" applyProtection="1">
      <alignment horizontal="center" vertical="center" wrapText="1"/>
      <protection locked="0"/>
    </xf>
    <xf numFmtId="169" fontId="3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54" applyFont="1" applyFill="1" applyBorder="1" applyAlignment="1" applyProtection="1">
      <alignment horizontal="center" vertical="center" wrapText="1"/>
      <protection locked="0"/>
    </xf>
    <xf numFmtId="0" fontId="3" fillId="0" borderId="22" xfId="54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center" vertical="center" wrapText="1"/>
      <protection locked="0"/>
    </xf>
    <xf numFmtId="0" fontId="3" fillId="0" borderId="24" xfId="54" applyFont="1" applyFill="1" applyBorder="1" applyAlignment="1" applyProtection="1">
      <alignment horizontal="center" vertical="center" wrapText="1"/>
      <protection locked="0"/>
    </xf>
    <xf numFmtId="0" fontId="3" fillId="0" borderId="20" xfId="54" applyFont="1" applyFill="1" applyBorder="1" applyAlignment="1" applyProtection="1">
      <alignment horizontal="center" vertical="center" wrapText="1"/>
      <protection locked="0"/>
    </xf>
    <xf numFmtId="0" fontId="3" fillId="0" borderId="21" xfId="54" applyFont="1" applyFill="1" applyBorder="1" applyAlignment="1" applyProtection="1">
      <alignment horizontal="center" vertical="center" wrapText="1"/>
      <protection locked="0"/>
    </xf>
    <xf numFmtId="0" fontId="3" fillId="0" borderId="25" xfId="54" applyFont="1" applyFill="1" applyBorder="1" applyAlignment="1" applyProtection="1">
      <alignment horizontal="center" vertical="center" wrapText="1"/>
      <protection locked="0"/>
    </xf>
    <xf numFmtId="0" fontId="3" fillId="0" borderId="26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40" zoomScaleSheetLayoutView="40" zoomScalePageLayoutView="0" workbookViewId="0" topLeftCell="A1">
      <selection activeCell="B1" sqref="B1:K1"/>
    </sheetView>
  </sheetViews>
  <sheetFormatPr defaultColWidth="9.140625" defaultRowHeight="15"/>
  <cols>
    <col min="1" max="1" width="1.8515625" style="1" customWidth="1"/>
    <col min="2" max="2" width="8.28125" style="6" customWidth="1"/>
    <col min="3" max="3" width="19.421875" style="5" customWidth="1"/>
    <col min="4" max="4" width="15.140625" style="6" customWidth="1"/>
    <col min="5" max="6" width="8.8515625" style="6" customWidth="1"/>
    <col min="7" max="7" width="7.7109375" style="6" customWidth="1"/>
    <col min="8" max="8" width="8.00390625" style="6" customWidth="1"/>
    <col min="9" max="9" width="24.00390625" style="6" customWidth="1"/>
    <col min="10" max="10" width="26.7109375" style="6" customWidth="1"/>
    <col min="11" max="11" width="48.57421875" style="6" customWidth="1"/>
    <col min="12" max="16384" width="9.140625" style="1" customWidth="1"/>
  </cols>
  <sheetData>
    <row r="1" spans="2:11" ht="48" customHeight="1" thickBot="1">
      <c r="B1" s="34" t="s">
        <v>106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s="2" customFormat="1" ht="53.25" customHeight="1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s="2" customFormat="1" ht="76.5" customHeight="1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38"/>
    </row>
    <row r="4" spans="2:11" ht="15"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v>0</v>
      </c>
      <c r="K4" s="22">
        <v>0</v>
      </c>
    </row>
    <row r="5" spans="2:11" ht="15"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v>0</v>
      </c>
      <c r="K5" s="7">
        <v>0</v>
      </c>
    </row>
    <row r="6" spans="2:11" ht="15"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v>9</v>
      </c>
      <c r="J6" s="7">
        <v>9</v>
      </c>
      <c r="K6" s="7">
        <v>9</v>
      </c>
    </row>
    <row r="7" spans="2:11" ht="15"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v>0.68</v>
      </c>
      <c r="J7" s="7">
        <v>0.68</v>
      </c>
      <c r="K7" s="7">
        <v>0.68</v>
      </c>
    </row>
    <row r="8" spans="2:11" ht="15"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2.39</v>
      </c>
      <c r="K8" s="7">
        <v>2.39</v>
      </c>
    </row>
    <row r="9" spans="2:11" ht="15"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v>0</v>
      </c>
      <c r="K9" s="7">
        <v>0</v>
      </c>
    </row>
    <row r="10" spans="2:11" ht="15"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v>0.49</v>
      </c>
      <c r="J10" s="7">
        <v>0.49</v>
      </c>
      <c r="K10" s="7">
        <v>0.49</v>
      </c>
    </row>
    <row r="11" spans="2:11" ht="15"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v>0</v>
      </c>
      <c r="K11" s="7">
        <v>0</v>
      </c>
    </row>
    <row r="12" spans="2:11" ht="15"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3.88</v>
      </c>
      <c r="J12" s="7">
        <v>3.88</v>
      </c>
      <c r="K12" s="7">
        <v>3.88</v>
      </c>
    </row>
    <row r="13" spans="2:11" ht="15"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v>1.61</v>
      </c>
      <c r="J13" s="7">
        <v>1.61</v>
      </c>
      <c r="K13" s="7">
        <v>1.61</v>
      </c>
    </row>
    <row r="14" spans="2:11" ht="15"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v>2.47</v>
      </c>
      <c r="J14" s="7">
        <v>2.47</v>
      </c>
      <c r="K14" s="7">
        <v>2.47</v>
      </c>
    </row>
    <row r="15" spans="2:11" ht="15"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v>1.95</v>
      </c>
      <c r="J15" s="7">
        <v>1.95</v>
      </c>
      <c r="K15" s="7">
        <v>1.95</v>
      </c>
    </row>
    <row r="16" spans="2:11" ht="15"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v>3.1</v>
      </c>
      <c r="J16" s="7">
        <v>3.1</v>
      </c>
      <c r="K16" s="7">
        <v>3.1</v>
      </c>
    </row>
    <row r="17" spans="2:11" ht="15"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v>1.45</v>
      </c>
      <c r="J17" s="7">
        <v>1.45</v>
      </c>
      <c r="K17" s="7">
        <v>1.45</v>
      </c>
    </row>
    <row r="18" spans="2:11" ht="15"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7">
        <v>5.59</v>
      </c>
    </row>
    <row r="19" spans="2:11" ht="15"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v>1.48</v>
      </c>
      <c r="J19" s="7">
        <v>1.48</v>
      </c>
      <c r="K19" s="7">
        <v>1.48</v>
      </c>
    </row>
    <row r="20" spans="2:11" ht="15"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v>1.78</v>
      </c>
      <c r="J20" s="7">
        <v>1.78</v>
      </c>
      <c r="K20" s="7">
        <v>1.78</v>
      </c>
    </row>
    <row r="21" spans="2:11" ht="15"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v>0.704</v>
      </c>
      <c r="J21" s="7">
        <v>0.704</v>
      </c>
      <c r="K21" s="7">
        <v>0.704</v>
      </c>
    </row>
    <row r="22" spans="2:11" ht="15"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v>0.89</v>
      </c>
      <c r="J22" s="7">
        <v>0.89</v>
      </c>
      <c r="K22" s="7">
        <v>0.89</v>
      </c>
    </row>
    <row r="23" spans="2:11" ht="15"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v>0.34</v>
      </c>
      <c r="J23" s="7">
        <v>0.34</v>
      </c>
      <c r="K23" s="7">
        <v>0.34</v>
      </c>
    </row>
    <row r="24" spans="2:11" ht="15"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7">
        <v>0</v>
      </c>
    </row>
    <row r="25" spans="2:11" ht="15"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7">
        <v>0.79</v>
      </c>
    </row>
    <row r="26" spans="2:11" ht="15"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v>0</v>
      </c>
      <c r="K26" s="7">
        <v>0</v>
      </c>
    </row>
    <row r="27" spans="2:11" ht="15"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v>2.69</v>
      </c>
      <c r="J27" s="7">
        <v>2.69</v>
      </c>
      <c r="K27" s="7">
        <v>2.69</v>
      </c>
    </row>
    <row r="28" spans="2:11" ht="15"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v>1.24</v>
      </c>
      <c r="J28" s="17">
        <v>1.24</v>
      </c>
      <c r="K28" s="17">
        <v>1.24</v>
      </c>
    </row>
    <row r="29" spans="2:11" ht="15"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v>1.98</v>
      </c>
      <c r="J29" s="7">
        <v>1.98</v>
      </c>
      <c r="K29" s="7">
        <v>1.98</v>
      </c>
    </row>
    <row r="30" spans="2:11" ht="15"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v>0.46</v>
      </c>
      <c r="J30" s="7">
        <v>0.46</v>
      </c>
      <c r="K30" s="7">
        <v>0.46</v>
      </c>
    </row>
    <row r="31" spans="2:11" ht="15"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v>1.1</v>
      </c>
      <c r="J31" s="7">
        <v>1.1</v>
      </c>
      <c r="K31" s="7">
        <v>1.1</v>
      </c>
    </row>
    <row r="32" spans="2:11" ht="15"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0.87</v>
      </c>
      <c r="J32" s="7">
        <v>0.87</v>
      </c>
      <c r="K32" s="7">
        <v>0.87</v>
      </c>
    </row>
    <row r="33" spans="2:11" ht="15"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7">
        <v>0.5</v>
      </c>
    </row>
    <row r="34" spans="2:11" ht="15"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0.8</v>
      </c>
      <c r="J34" s="7">
        <v>0.8</v>
      </c>
      <c r="K34" s="7">
        <v>0.8</v>
      </c>
    </row>
    <row r="35" spans="2:11" ht="15"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v>1.79</v>
      </c>
      <c r="J35" s="7">
        <v>1.79</v>
      </c>
      <c r="K35" s="7">
        <v>1.79</v>
      </c>
    </row>
    <row r="36" spans="2:11" ht="15"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v>1.52</v>
      </c>
      <c r="J36" s="7">
        <v>1.52</v>
      </c>
      <c r="K36" s="7">
        <v>1.52</v>
      </c>
    </row>
    <row r="37" spans="2:11" ht="15"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v>1.7</v>
      </c>
      <c r="J37" s="7">
        <v>1.7</v>
      </c>
      <c r="K37" s="7">
        <v>1.7</v>
      </c>
    </row>
    <row r="38" spans="2:11" ht="15"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v>0</v>
      </c>
      <c r="K38" s="7">
        <v>0</v>
      </c>
    </row>
    <row r="39" spans="2:11" ht="15"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18.11</v>
      </c>
      <c r="J39" s="7">
        <v>18.11</v>
      </c>
      <c r="K39" s="7">
        <v>18.11</v>
      </c>
    </row>
    <row r="40" spans="2:11" ht="15"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</row>
    <row r="41" spans="2:11" ht="15"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v>0.2</v>
      </c>
      <c r="J41" s="7">
        <v>0.2</v>
      </c>
      <c r="K41" s="7">
        <v>0.2</v>
      </c>
    </row>
    <row r="42" spans="2:11" ht="15"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7">
        <v>4</v>
      </c>
    </row>
    <row r="43" spans="2:11" ht="15"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7">
        <v>1.8</v>
      </c>
    </row>
    <row r="44" spans="2:11" ht="15"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7">
        <v>0.7</v>
      </c>
    </row>
    <row r="45" spans="1:3" ht="15">
      <c r="A45" s="28"/>
      <c r="B45" s="29"/>
      <c r="C45" s="29"/>
    </row>
    <row r="46" spans="1:3" ht="15">
      <c r="A46" s="27"/>
      <c r="B46" s="30"/>
      <c r="C46" s="29"/>
    </row>
    <row r="47" spans="1:3" ht="15">
      <c r="A47" s="24"/>
      <c r="B47" s="25"/>
      <c r="C47" s="26"/>
    </row>
  </sheetData>
  <sheetProtection/>
  <mergeCells count="8">
    <mergeCell ref="B1:K1"/>
    <mergeCell ref="A2:A3"/>
    <mergeCell ref="K2:K3"/>
    <mergeCell ref="I2:J2"/>
    <mergeCell ref="B2:B3"/>
    <mergeCell ref="C2:C3"/>
    <mergeCell ref="D2:D3"/>
    <mergeCell ref="E2:H2"/>
  </mergeCells>
  <printOptions/>
  <pageMargins left="0.7" right="0.7" top="0.75" bottom="0.75" header="0.3" footer="0.3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="70" zoomScaleNormal="70" zoomScalePageLayoutView="0" workbookViewId="0" topLeftCell="A4">
      <selection activeCell="A1" sqref="A1:M44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  <col min="12" max="12" width="13.57421875" style="0" customWidth="1"/>
    <col min="13" max="13" width="17.00390625" style="0" customWidth="1"/>
  </cols>
  <sheetData>
    <row r="1" spans="1:11" ht="56.25" customHeight="1" thickBot="1">
      <c r="A1" s="1"/>
      <c r="B1" s="34" t="s">
        <v>108</v>
      </c>
      <c r="C1" s="34"/>
      <c r="D1" s="34"/>
      <c r="E1" s="34"/>
      <c r="F1" s="34"/>
      <c r="G1" s="34"/>
      <c r="H1" s="34"/>
      <c r="I1" s="34"/>
      <c r="J1" s="35"/>
      <c r="K1" s="35"/>
    </row>
    <row r="2" spans="1:13" ht="43.5" customHeight="1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  <c r="M2" s="32">
        <v>10</v>
      </c>
    </row>
    <row r="3" spans="1:13" ht="63" customHeight="1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  <c r="M3" s="33" t="s">
        <v>110</v>
      </c>
    </row>
    <row r="4" spans="1:13" ht="15.7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-0.219-0.009-0.061-0.034-0.036-0.195-0.022</f>
        <v>-0.5760000000000001</v>
      </c>
      <c r="K4" s="31">
        <f aca="true" t="shared" si="0" ref="K4:K12">J4-((M4-J4)/$M$2)*(12-$M$2)</f>
        <v>-0.6912</v>
      </c>
      <c r="M4" s="32">
        <v>0</v>
      </c>
    </row>
    <row r="5" spans="1:13" ht="15.7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-0.1975-0.092-0.058-0.066-0.04-0.0655-0.1785</f>
        <v>-0.6974999999999999</v>
      </c>
      <c r="K5" s="31">
        <f t="shared" si="0"/>
        <v>-0.8369999999999999</v>
      </c>
      <c r="M5" s="32">
        <v>0</v>
      </c>
    </row>
    <row r="6" spans="1:13" ht="15.7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f>9-0.35-0.355</f>
        <v>8.295</v>
      </c>
      <c r="J6" s="7">
        <f>8.988-0.35-0.355</f>
        <v>8.283</v>
      </c>
      <c r="K6" s="31">
        <f t="shared" si="0"/>
        <v>8.1396</v>
      </c>
      <c r="M6" s="32">
        <v>9</v>
      </c>
    </row>
    <row r="7" spans="1:13" ht="15.7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0.671-0.004-0.023-0.005</f>
        <v>0.639</v>
      </c>
      <c r="J7" s="7">
        <f>0.638-0.004-0.023-0.005</f>
        <v>0.606</v>
      </c>
      <c r="K7" s="31">
        <f t="shared" si="0"/>
        <v>0.5912</v>
      </c>
      <c r="M7" s="32">
        <v>0.68</v>
      </c>
    </row>
    <row r="8" spans="1:13" ht="15.7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2.3791999999999995</v>
      </c>
      <c r="M8" s="32">
        <v>2.39</v>
      </c>
    </row>
    <row r="9" spans="1:13" ht="15.7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-0.054-0.012-0.007-0.009</f>
        <v>-0.082</v>
      </c>
      <c r="K9" s="31">
        <f t="shared" si="0"/>
        <v>-0.0984</v>
      </c>
      <c r="M9" s="32">
        <v>0</v>
      </c>
    </row>
    <row r="10" spans="1:13" ht="15.7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0.49-0.002-0.032-0.0155</f>
        <v>0.44049999999999995</v>
      </c>
      <c r="J10" s="7">
        <f>0.49-0.002-0.032-0.0155</f>
        <v>0.44049999999999995</v>
      </c>
      <c r="K10" s="31">
        <f t="shared" si="0"/>
        <v>0.4305999999999999</v>
      </c>
      <c r="M10" s="32">
        <v>0.49</v>
      </c>
    </row>
    <row r="11" spans="1:13" ht="15.7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0-0.015-0.007-0.0145-0.015</f>
        <v>-0.0515</v>
      </c>
      <c r="K11" s="31">
        <f t="shared" si="0"/>
        <v>-0.061799999999999994</v>
      </c>
      <c r="M11" s="32">
        <v>0</v>
      </c>
    </row>
    <row r="12" spans="1:13" ht="15.7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3.8596</v>
      </c>
      <c r="M12" s="32">
        <v>3.88</v>
      </c>
    </row>
    <row r="13" spans="1:13" ht="15.7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>J13-((M13-J13)/$M$2)*(12-$M$2)</f>
        <v>1.5872000000000002</v>
      </c>
      <c r="M13" s="32">
        <v>1.61</v>
      </c>
    </row>
    <row r="14" spans="1:13" ht="15.75">
      <c r="A14" s="1"/>
      <c r="B14" s="11" t="s">
        <v>33</v>
      </c>
      <c r="C14" s="12" t="s">
        <v>34</v>
      </c>
      <c r="D14" s="7" t="s">
        <v>109</v>
      </c>
      <c r="E14" s="14">
        <v>6.3</v>
      </c>
      <c r="F14" s="14">
        <v>6.3</v>
      </c>
      <c r="G14" s="19">
        <v>0</v>
      </c>
      <c r="H14" s="19">
        <v>0</v>
      </c>
      <c r="I14" s="7">
        <f>2.47-0.007-0.007-0.011</f>
        <v>2.445</v>
      </c>
      <c r="J14" s="7">
        <f>2.47-0.007-0.007-0.011</f>
        <v>2.445</v>
      </c>
      <c r="K14" s="31">
        <f aca="true" t="shared" si="1" ref="K14:K44">J14-((M14-J14)/$M$2)*(12-$M$2)</f>
        <v>2.44</v>
      </c>
      <c r="M14" s="32">
        <v>2.47</v>
      </c>
    </row>
    <row r="15" spans="1:13" ht="15.7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1"/>
        <v>1.9224</v>
      </c>
      <c r="M15" s="32">
        <v>1.95</v>
      </c>
    </row>
    <row r="16" spans="1:13" ht="15.7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3.079-0.014-0.021-0.009-0.015-0.02</f>
        <v>3.0000000000000004</v>
      </c>
      <c r="J16" s="7">
        <f>3.04-0.014-0.021-0.009-0.015-0.02</f>
        <v>2.9610000000000003</v>
      </c>
      <c r="K16" s="31">
        <f t="shared" si="1"/>
        <v>2.9332000000000003</v>
      </c>
      <c r="M16" s="32">
        <v>3.1</v>
      </c>
    </row>
    <row r="17" spans="1:13" ht="15.7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1.432-0.007-0.006-0.007</f>
        <v>1.4120000000000001</v>
      </c>
      <c r="J17" s="7">
        <f>1.432-0.007-0.006-0.007</f>
        <v>1.4120000000000001</v>
      </c>
      <c r="K17" s="31">
        <f t="shared" si="1"/>
        <v>1.4044</v>
      </c>
      <c r="M17" s="32">
        <v>1.45</v>
      </c>
    </row>
    <row r="18" spans="1:13" ht="15.7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1"/>
        <v>5.59</v>
      </c>
      <c r="M18" s="32">
        <v>5.59</v>
      </c>
    </row>
    <row r="19" spans="1:13" ht="15.7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f>1.48-0.012-0.009</f>
        <v>1.459</v>
      </c>
      <c r="J19" s="7">
        <f>1.48-0.012-0.009</f>
        <v>1.459</v>
      </c>
      <c r="K19" s="31">
        <f t="shared" si="1"/>
        <v>1.4548</v>
      </c>
      <c r="M19" s="32">
        <v>1.48</v>
      </c>
    </row>
    <row r="20" spans="1:13" ht="15.7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f>1.703-0.009-0.008-0.015</f>
        <v>1.6710000000000003</v>
      </c>
      <c r="J20" s="7">
        <f>1.703-0.009-0.008-0.015</f>
        <v>1.6710000000000003</v>
      </c>
      <c r="K20" s="31">
        <f t="shared" si="1"/>
        <v>1.6492000000000002</v>
      </c>
      <c r="M20" s="32">
        <v>1.78</v>
      </c>
    </row>
    <row r="21" spans="1:13" ht="15.7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0.693-0.007-0.007</f>
        <v>0.6789999999999999</v>
      </c>
      <c r="J21" s="7">
        <f>0.693-0.007-0.007</f>
        <v>0.6789999999999999</v>
      </c>
      <c r="K21" s="31">
        <f t="shared" si="1"/>
        <v>0.6739999999999999</v>
      </c>
      <c r="M21" s="32">
        <v>0.704</v>
      </c>
    </row>
    <row r="22" spans="1:13" ht="15.7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0.89-0.011-0.009</f>
        <v>0.87</v>
      </c>
      <c r="J22" s="7">
        <f>0.89-0.011-0.009</f>
        <v>0.87</v>
      </c>
      <c r="K22" s="31">
        <f t="shared" si="1"/>
        <v>0.866</v>
      </c>
      <c r="M22" s="32">
        <v>0.89</v>
      </c>
    </row>
    <row r="23" spans="1:13" ht="15.7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0.329-0.034-0.021-0.012-0.001</f>
        <v>0.261</v>
      </c>
      <c r="J23" s="7">
        <f>0.329-0.034-0.021-0.012-0.001</f>
        <v>0.261</v>
      </c>
      <c r="K23" s="31">
        <f t="shared" si="1"/>
        <v>0.2452</v>
      </c>
      <c r="M23" s="32">
        <v>0.34</v>
      </c>
    </row>
    <row r="24" spans="1:13" ht="15.7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f>0-0.015</f>
        <v>-0.015</v>
      </c>
      <c r="K24" s="31">
        <f t="shared" si="1"/>
        <v>-0.018</v>
      </c>
      <c r="M24" s="32">
        <v>0</v>
      </c>
    </row>
    <row r="25" spans="1:13" ht="15.7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f>0.79-0.015</f>
        <v>0.775</v>
      </c>
      <c r="J25" s="7">
        <f>0.79-0.015</f>
        <v>0.775</v>
      </c>
      <c r="K25" s="31">
        <f t="shared" si="1"/>
        <v>0.772</v>
      </c>
      <c r="M25" s="32">
        <v>0.79</v>
      </c>
    </row>
    <row r="26" spans="1:13" ht="15.7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1"/>
        <v>-0.04440000000000001</v>
      </c>
      <c r="M26" s="32">
        <v>0</v>
      </c>
    </row>
    <row r="27" spans="1:13" ht="15.7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2.69-0.021-0.001</f>
        <v>2.668</v>
      </c>
      <c r="J27" s="7">
        <f>2.69-0.021-0.001</f>
        <v>2.668</v>
      </c>
      <c r="K27" s="31">
        <f t="shared" si="1"/>
        <v>2.6636</v>
      </c>
      <c r="M27" s="32">
        <v>2.69</v>
      </c>
    </row>
    <row r="28" spans="1:13" ht="15.7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1"/>
        <v>1.2232000000000003</v>
      </c>
      <c r="M28" s="32">
        <v>1.24</v>
      </c>
    </row>
    <row r="29" spans="1:13" ht="15.7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1.98-0.011-0.007</f>
        <v>1.9620000000000002</v>
      </c>
      <c r="J29" s="7">
        <f>1.98-0.011-0.007</f>
        <v>1.9620000000000002</v>
      </c>
      <c r="K29" s="31">
        <f t="shared" si="1"/>
        <v>1.9584000000000001</v>
      </c>
      <c r="M29" s="32">
        <v>1.98</v>
      </c>
    </row>
    <row r="30" spans="1:13" ht="15.7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0.395-0.007-0.007-0.009-0.009</f>
        <v>0.363</v>
      </c>
      <c r="J30" s="7">
        <f>0.387-0.007-0.007-0.009-0.009</f>
        <v>0.355</v>
      </c>
      <c r="K30" s="31">
        <f t="shared" si="1"/>
        <v>0.33399999999999996</v>
      </c>
      <c r="M30" s="32">
        <v>0.46</v>
      </c>
    </row>
    <row r="31" spans="1:13" ht="15.7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1.1-0.014-0.007</f>
        <v>1.0790000000000002</v>
      </c>
      <c r="J31" s="7">
        <f>1.1-0.014-0.007</f>
        <v>1.0790000000000002</v>
      </c>
      <c r="K31" s="31">
        <f t="shared" si="1"/>
        <v>1.0748000000000002</v>
      </c>
      <c r="M31" s="32">
        <v>1.1</v>
      </c>
    </row>
    <row r="32" spans="1:13" ht="15.7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1"/>
        <v>0.8423999999999999</v>
      </c>
      <c r="M32" s="32">
        <v>0.87</v>
      </c>
    </row>
    <row r="33" spans="1:13" ht="15.7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f>0.5-0.009</f>
        <v>0.491</v>
      </c>
      <c r="J33" s="7">
        <f>0.5-0.009</f>
        <v>0.491</v>
      </c>
      <c r="K33" s="31">
        <f t="shared" si="1"/>
        <v>0.48919999999999997</v>
      </c>
      <c r="M33" s="32">
        <v>0.5</v>
      </c>
    </row>
    <row r="34" spans="1:13" ht="15.7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1"/>
        <v>0.7892</v>
      </c>
      <c r="M34" s="32">
        <v>0.8</v>
      </c>
    </row>
    <row r="35" spans="1:13" ht="15.7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1.79-0.025-0.009</f>
        <v>1.7560000000000002</v>
      </c>
      <c r="J35" s="7">
        <f>1.79-0.025-0.009</f>
        <v>1.7560000000000002</v>
      </c>
      <c r="K35" s="31">
        <f t="shared" si="1"/>
        <v>1.7492000000000003</v>
      </c>
      <c r="M35" s="32">
        <v>1.79</v>
      </c>
    </row>
    <row r="36" spans="1:13" ht="15.7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1.52-0.007-0.04-0.009</f>
        <v>1.4640000000000002</v>
      </c>
      <c r="J36" s="7">
        <f>1.52-0.007-0.04-0.009</f>
        <v>1.4640000000000002</v>
      </c>
      <c r="K36" s="31">
        <f t="shared" si="1"/>
        <v>1.4528000000000003</v>
      </c>
      <c r="M36" s="32">
        <v>1.52</v>
      </c>
    </row>
    <row r="37" spans="1:13" ht="15.7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1.7-0.01-0.009</f>
        <v>1.681</v>
      </c>
      <c r="J37" s="7">
        <f>1.659-0.01-0.009</f>
        <v>1.6400000000000001</v>
      </c>
      <c r="K37" s="31">
        <f t="shared" si="1"/>
        <v>1.6280000000000001</v>
      </c>
      <c r="M37" s="32">
        <v>1.7</v>
      </c>
    </row>
    <row r="38" spans="1:13" ht="15.7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-0.132-0.014-0.005-0.022-0.014</f>
        <v>-0.18700000000000003</v>
      </c>
      <c r="K38" s="31">
        <f t="shared" si="1"/>
        <v>-0.22440000000000004</v>
      </c>
      <c r="M38" s="32">
        <v>0</v>
      </c>
    </row>
    <row r="39" spans="1:13" ht="15.7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f>18.093-0.011-0.008-0.01</f>
        <v>18.064</v>
      </c>
      <c r="J39" s="7">
        <f>18.055-0.011-0.008-0.01</f>
        <v>18.026</v>
      </c>
      <c r="K39" s="31">
        <f t="shared" si="1"/>
        <v>18.0092</v>
      </c>
      <c r="M39" s="32">
        <v>18.11</v>
      </c>
    </row>
    <row r="40" spans="1:13" ht="15.7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-0.199-0.012-0.006-0.447-0.056-0.182</f>
        <v>-0.9020000000000001</v>
      </c>
      <c r="K40" s="31">
        <f t="shared" si="1"/>
        <v>-1.0824000000000003</v>
      </c>
      <c r="M40" s="32">
        <v>0</v>
      </c>
    </row>
    <row r="41" spans="1:13" ht="15.7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0.194-0.021-0.002</f>
        <v>0.171</v>
      </c>
      <c r="J41" s="7">
        <f>0.185-0.021-0.002</f>
        <v>0.162</v>
      </c>
      <c r="K41" s="31">
        <f t="shared" si="1"/>
        <v>0.1544</v>
      </c>
      <c r="M41" s="32">
        <v>0.2</v>
      </c>
    </row>
    <row r="42" spans="1:13" ht="15.7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1"/>
        <v>4</v>
      </c>
      <c r="M42" s="32">
        <v>4</v>
      </c>
    </row>
    <row r="43" spans="1:13" ht="15.7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1"/>
        <v>1.8</v>
      </c>
      <c r="M43" s="32">
        <v>1.8</v>
      </c>
    </row>
    <row r="44" spans="1:13" ht="15.7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1"/>
        <v>0.7</v>
      </c>
      <c r="M44" s="32">
        <v>0.7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zoomScalePageLayoutView="0" workbookViewId="0" topLeftCell="A16">
      <selection activeCell="A1" sqref="A1:M44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  <col min="12" max="12" width="13.57421875" style="0" customWidth="1"/>
    <col min="13" max="13" width="17.00390625" style="0" customWidth="1"/>
  </cols>
  <sheetData>
    <row r="1" spans="1:11" ht="39" customHeight="1" thickBot="1">
      <c r="A1" s="1"/>
      <c r="B1" s="34" t="s">
        <v>111</v>
      </c>
      <c r="C1" s="34"/>
      <c r="D1" s="34"/>
      <c r="E1" s="34"/>
      <c r="F1" s="34"/>
      <c r="G1" s="34"/>
      <c r="H1" s="34"/>
      <c r="I1" s="34"/>
      <c r="J1" s="35"/>
      <c r="K1" s="35"/>
    </row>
    <row r="2" spans="1:13" ht="16.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  <c r="M2" s="32">
        <v>11</v>
      </c>
    </row>
    <row r="3" spans="1:13" ht="90.75" customHeight="1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  <c r="M3" s="33" t="s">
        <v>110</v>
      </c>
    </row>
    <row r="4" spans="1:13" ht="15.7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-0.219-0.009-0.061-0.034-0.036-0.195-0.022-0.089</f>
        <v>-0.665</v>
      </c>
      <c r="K4" s="31">
        <f aca="true" t="shared" si="0" ref="K4:K12">J4-((M4-J4)/$M$2)*(12-$M$2)</f>
        <v>-0.7254545454545455</v>
      </c>
      <c r="M4" s="32">
        <v>0</v>
      </c>
    </row>
    <row r="5" spans="1:13" ht="15.7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-0.1975-0.092-0.058-0.066-0.04-0.0655-0.1785-0.145</f>
        <v>-0.8424999999999999</v>
      </c>
      <c r="K5" s="31">
        <f t="shared" si="0"/>
        <v>-0.919090909090909</v>
      </c>
      <c r="M5" s="32">
        <v>0</v>
      </c>
    </row>
    <row r="6" spans="1:13" ht="15.7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f>9-0.35-0.355</f>
        <v>8.295</v>
      </c>
      <c r="J6" s="7">
        <f>8.988-0.35-0.355</f>
        <v>8.283</v>
      </c>
      <c r="K6" s="31">
        <f t="shared" si="0"/>
        <v>8.217818181818181</v>
      </c>
      <c r="M6" s="32">
        <v>9</v>
      </c>
    </row>
    <row r="7" spans="1:13" ht="15.7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0.671-0.004-0.023-0.005</f>
        <v>0.639</v>
      </c>
      <c r="J7" s="7">
        <f>0.638-0.004-0.023-0.005</f>
        <v>0.606</v>
      </c>
      <c r="K7" s="31">
        <f t="shared" si="0"/>
        <v>0.5992727272727273</v>
      </c>
      <c r="M7" s="32">
        <v>0.68</v>
      </c>
    </row>
    <row r="8" spans="1:13" ht="15.7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2.3801818181818177</v>
      </c>
      <c r="M8" s="32">
        <v>2.39</v>
      </c>
    </row>
    <row r="9" spans="1:13" ht="15.7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-0.054-0.012-0.007-0.009-0.033</f>
        <v>-0.115</v>
      </c>
      <c r="K9" s="31">
        <f t="shared" si="0"/>
        <v>-0.12545454545454546</v>
      </c>
      <c r="M9" s="32">
        <v>0</v>
      </c>
    </row>
    <row r="10" spans="1:13" ht="15.7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0.49-0.002-0.032-0.0155</f>
        <v>0.44049999999999995</v>
      </c>
      <c r="J10" s="7">
        <f>0.49-0.002-0.032-0.0155</f>
        <v>0.44049999999999995</v>
      </c>
      <c r="K10" s="31">
        <f t="shared" si="0"/>
        <v>0.43599999999999994</v>
      </c>
      <c r="M10" s="32">
        <v>0.49</v>
      </c>
    </row>
    <row r="11" spans="1:13" ht="15.7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0-0.015-0.007-0.0145-0.015</f>
        <v>-0.0515</v>
      </c>
      <c r="K11" s="31">
        <f t="shared" si="0"/>
        <v>-0.05618181818181818</v>
      </c>
      <c r="M11" s="32">
        <v>0</v>
      </c>
    </row>
    <row r="12" spans="1:13" ht="15.7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3.8614545454545453</v>
      </c>
      <c r="M12" s="32">
        <v>3.88</v>
      </c>
    </row>
    <row r="13" spans="1:13" ht="15.7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>J13-((M13-J13)/$M$2)*(12-$M$2)</f>
        <v>1.5892727272727274</v>
      </c>
      <c r="M13" s="32">
        <v>1.61</v>
      </c>
    </row>
    <row r="14" spans="1:13" ht="15.75">
      <c r="A14" s="1"/>
      <c r="B14" s="11" t="s">
        <v>33</v>
      </c>
      <c r="C14" s="12" t="s">
        <v>34</v>
      </c>
      <c r="D14" s="7" t="s">
        <v>109</v>
      </c>
      <c r="E14" s="14">
        <v>6.3</v>
      </c>
      <c r="F14" s="14">
        <v>6.3</v>
      </c>
      <c r="G14" s="19">
        <v>0</v>
      </c>
      <c r="H14" s="19">
        <v>0</v>
      </c>
      <c r="I14" s="7">
        <f>2.47-0.007-0.007-0.011</f>
        <v>2.445</v>
      </c>
      <c r="J14" s="7">
        <f>2.47-0.007-0.007-0.011</f>
        <v>2.445</v>
      </c>
      <c r="K14" s="31">
        <f aca="true" t="shared" si="1" ref="K14:K44">J14-((M14-J14)/$M$2)*(12-$M$2)</f>
        <v>2.4427272727272724</v>
      </c>
      <c r="M14" s="32">
        <v>2.47</v>
      </c>
    </row>
    <row r="15" spans="1:13" ht="15.7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1"/>
        <v>1.924909090909091</v>
      </c>
      <c r="M15" s="32">
        <v>1.95</v>
      </c>
    </row>
    <row r="16" spans="1:13" ht="15.7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3.079-0.014-0.021-0.009-0.015-0.02-0.007</f>
        <v>2.9930000000000003</v>
      </c>
      <c r="J16" s="7">
        <f>3.04-0.014-0.021-0.009-0.015-0.02-0.007</f>
        <v>2.954</v>
      </c>
      <c r="K16" s="31">
        <f t="shared" si="1"/>
        <v>2.940727272727273</v>
      </c>
      <c r="M16" s="32">
        <v>3.1</v>
      </c>
    </row>
    <row r="17" spans="1:13" ht="15.7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1.432-0.007-0.006-0.007</f>
        <v>1.4120000000000001</v>
      </c>
      <c r="J17" s="7">
        <f>1.432-0.007-0.006-0.007</f>
        <v>1.4120000000000001</v>
      </c>
      <c r="K17" s="31">
        <f t="shared" si="1"/>
        <v>1.4085454545454548</v>
      </c>
      <c r="M17" s="32">
        <v>1.45</v>
      </c>
    </row>
    <row r="18" spans="1:13" ht="15.7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1"/>
        <v>5.59</v>
      </c>
      <c r="M18" s="32">
        <v>5.59</v>
      </c>
    </row>
    <row r="19" spans="1:13" ht="15.7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f>1.48-0.012-0.009</f>
        <v>1.459</v>
      </c>
      <c r="J19" s="7">
        <f>1.48-0.012-0.009</f>
        <v>1.459</v>
      </c>
      <c r="K19" s="31">
        <f t="shared" si="1"/>
        <v>1.4570909090909092</v>
      </c>
      <c r="M19" s="32">
        <v>1.48</v>
      </c>
    </row>
    <row r="20" spans="1:13" ht="15.7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f>1.703-0.009-0.008-0.015</f>
        <v>1.6710000000000003</v>
      </c>
      <c r="J20" s="7">
        <f>1.703-0.009-0.008-0.015</f>
        <v>1.6710000000000003</v>
      </c>
      <c r="K20" s="31">
        <f t="shared" si="1"/>
        <v>1.6610909090909094</v>
      </c>
      <c r="M20" s="32">
        <v>1.78</v>
      </c>
    </row>
    <row r="21" spans="1:13" ht="15.7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0.693-0.007-0.007</f>
        <v>0.6789999999999999</v>
      </c>
      <c r="J21" s="7">
        <f>0.693-0.007-0.007</f>
        <v>0.6789999999999999</v>
      </c>
      <c r="K21" s="31">
        <f t="shared" si="1"/>
        <v>0.6767272727272726</v>
      </c>
      <c r="M21" s="32">
        <v>0.704</v>
      </c>
    </row>
    <row r="22" spans="1:13" ht="15.7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0.89-0.011-0.009</f>
        <v>0.87</v>
      </c>
      <c r="J22" s="7">
        <f>0.89-0.011-0.009</f>
        <v>0.87</v>
      </c>
      <c r="K22" s="31">
        <f t="shared" si="1"/>
        <v>0.8681818181818182</v>
      </c>
      <c r="M22" s="32">
        <v>0.89</v>
      </c>
    </row>
    <row r="23" spans="1:13" ht="15.7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0.329-0.034-0.021-0.012-0.001</f>
        <v>0.261</v>
      </c>
      <c r="J23" s="7">
        <f>0.329-0.034-0.021-0.012-0.001</f>
        <v>0.261</v>
      </c>
      <c r="K23" s="31">
        <f t="shared" si="1"/>
        <v>0.25381818181818183</v>
      </c>
      <c r="M23" s="32">
        <v>0.34</v>
      </c>
    </row>
    <row r="24" spans="1:13" ht="15.7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f>0-0.015</f>
        <v>-0.015</v>
      </c>
      <c r="K24" s="31">
        <f t="shared" si="1"/>
        <v>-0.01636363636363636</v>
      </c>
      <c r="M24" s="32">
        <v>0</v>
      </c>
    </row>
    <row r="25" spans="1:13" ht="15.7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f>0.79-0.015</f>
        <v>0.775</v>
      </c>
      <c r="J25" s="7">
        <f>0.79-0.015</f>
        <v>0.775</v>
      </c>
      <c r="K25" s="31">
        <f t="shared" si="1"/>
        <v>0.7736363636363637</v>
      </c>
      <c r="M25" s="32">
        <v>0.79</v>
      </c>
    </row>
    <row r="26" spans="1:13" ht="15.7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1"/>
        <v>-0.04036363636363637</v>
      </c>
      <c r="M26" s="32">
        <v>0</v>
      </c>
    </row>
    <row r="27" spans="1:13" ht="15.7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2.69-0.021-0.001</f>
        <v>2.668</v>
      </c>
      <c r="J27" s="7">
        <f>2.69-0.021-0.001</f>
        <v>2.668</v>
      </c>
      <c r="K27" s="31">
        <f t="shared" si="1"/>
        <v>2.6660000000000004</v>
      </c>
      <c r="M27" s="32">
        <v>2.69</v>
      </c>
    </row>
    <row r="28" spans="1:13" ht="15.7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1"/>
        <v>1.2247272727272729</v>
      </c>
      <c r="M28" s="32">
        <v>1.24</v>
      </c>
    </row>
    <row r="29" spans="1:13" ht="15.7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1.98-0.011-0.007-0.006</f>
        <v>1.9560000000000002</v>
      </c>
      <c r="J29" s="7">
        <f>1.98-0.011-0.007-0.006</f>
        <v>1.9560000000000002</v>
      </c>
      <c r="K29" s="31">
        <f t="shared" si="1"/>
        <v>1.9538181818181821</v>
      </c>
      <c r="M29" s="32">
        <v>1.98</v>
      </c>
    </row>
    <row r="30" spans="1:13" ht="15.7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0.395-0.007-0.007-0.009-0.009</f>
        <v>0.363</v>
      </c>
      <c r="J30" s="7">
        <f>0.387-0.007-0.007-0.009-0.009</f>
        <v>0.355</v>
      </c>
      <c r="K30" s="31">
        <f t="shared" si="1"/>
        <v>0.34545454545454546</v>
      </c>
      <c r="M30" s="32">
        <v>0.46</v>
      </c>
    </row>
    <row r="31" spans="1:13" ht="15.7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1.1-0.014-0.007</f>
        <v>1.0790000000000002</v>
      </c>
      <c r="J31" s="7">
        <f>1.1-0.014-0.007</f>
        <v>1.0790000000000002</v>
      </c>
      <c r="K31" s="31">
        <f t="shared" si="1"/>
        <v>1.0770909090909093</v>
      </c>
      <c r="M31" s="32">
        <v>1.1</v>
      </c>
    </row>
    <row r="32" spans="1:13" ht="15.7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f>0.849-0.04</f>
        <v>0.8089999999999999</v>
      </c>
      <c r="J32" s="7">
        <f>0.847-0.04</f>
        <v>0.8069999999999999</v>
      </c>
      <c r="K32" s="31">
        <f t="shared" si="1"/>
        <v>0.8012727272727272</v>
      </c>
      <c r="M32" s="32">
        <v>0.87</v>
      </c>
    </row>
    <row r="33" spans="1:13" ht="15.7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f>0.5-0.009</f>
        <v>0.491</v>
      </c>
      <c r="J33" s="7">
        <f>0.5-0.009</f>
        <v>0.491</v>
      </c>
      <c r="K33" s="31">
        <f t="shared" si="1"/>
        <v>0.49018181818181816</v>
      </c>
      <c r="M33" s="32">
        <v>0.5</v>
      </c>
    </row>
    <row r="34" spans="1:13" ht="15.7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1"/>
        <v>0.7901818181818182</v>
      </c>
      <c r="M34" s="32">
        <v>0.8</v>
      </c>
    </row>
    <row r="35" spans="1:13" ht="15.7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1.79-0.025-0.009</f>
        <v>1.7560000000000002</v>
      </c>
      <c r="J35" s="7">
        <f>1.79-0.025-0.009</f>
        <v>1.7560000000000002</v>
      </c>
      <c r="K35" s="31">
        <f t="shared" si="1"/>
        <v>1.7529090909090912</v>
      </c>
      <c r="M35" s="32">
        <v>1.79</v>
      </c>
    </row>
    <row r="36" spans="1:13" ht="15.7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1.52-0.007-0.04-0.009</f>
        <v>1.4640000000000002</v>
      </c>
      <c r="J36" s="7">
        <f>1.52-0.007-0.04-0.009</f>
        <v>1.4640000000000002</v>
      </c>
      <c r="K36" s="31">
        <f t="shared" si="1"/>
        <v>1.4589090909090912</v>
      </c>
      <c r="M36" s="32">
        <v>1.52</v>
      </c>
    </row>
    <row r="37" spans="1:13" ht="15.7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1.7-0.01-0.009-0.005</f>
        <v>1.6760000000000002</v>
      </c>
      <c r="J37" s="7">
        <f>1.659-0.01-0.009-0.005</f>
        <v>1.6350000000000002</v>
      </c>
      <c r="K37" s="31">
        <f t="shared" si="1"/>
        <v>1.6290909090909094</v>
      </c>
      <c r="M37" s="32">
        <v>1.7</v>
      </c>
    </row>
    <row r="38" spans="1:13" ht="15.7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-0.132-0.014-0.005-0.022-0.014-0.014</f>
        <v>-0.20100000000000004</v>
      </c>
      <c r="K38" s="31">
        <f t="shared" si="1"/>
        <v>-0.2192727272727273</v>
      </c>
      <c r="M38" s="32">
        <v>0</v>
      </c>
    </row>
    <row r="39" spans="1:13" ht="15.7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f>18.093-0.011-0.008-0.01</f>
        <v>18.064</v>
      </c>
      <c r="J39" s="7">
        <f>18.055-0.011-0.008-0.01</f>
        <v>18.026</v>
      </c>
      <c r="K39" s="31">
        <f t="shared" si="1"/>
        <v>18.018363636363635</v>
      </c>
      <c r="M39" s="32">
        <v>18.11</v>
      </c>
    </row>
    <row r="40" spans="1:13" ht="15.7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-0.199-0.012-0.006-0.447-0.056-0.182-0.315</f>
        <v>-1.217</v>
      </c>
      <c r="K40" s="31">
        <f t="shared" si="1"/>
        <v>-1.3276363636363637</v>
      </c>
      <c r="M40" s="32">
        <v>0</v>
      </c>
    </row>
    <row r="41" spans="1:13" ht="15.7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0.194-0.021-0.002</f>
        <v>0.171</v>
      </c>
      <c r="J41" s="7">
        <f>0.185-0.021-0.002</f>
        <v>0.162</v>
      </c>
      <c r="K41" s="31">
        <f t="shared" si="1"/>
        <v>0.15854545454545454</v>
      </c>
      <c r="M41" s="32">
        <v>0.2</v>
      </c>
    </row>
    <row r="42" spans="1:13" ht="15.7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1"/>
        <v>4</v>
      </c>
      <c r="M42" s="32">
        <v>4</v>
      </c>
    </row>
    <row r="43" spans="1:13" ht="15.7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1"/>
        <v>1.8</v>
      </c>
      <c r="M43" s="32">
        <v>1.8</v>
      </c>
    </row>
    <row r="44" spans="1:13" ht="15.7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1"/>
        <v>0.7</v>
      </c>
      <c r="M44" s="32">
        <v>0.7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">
      <selection activeCell="J19" sqref="J19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  <col min="12" max="12" width="13.57421875" style="0" customWidth="1"/>
    <col min="13" max="13" width="17.00390625" style="0" customWidth="1"/>
  </cols>
  <sheetData>
    <row r="1" spans="1:11" ht="52.5" customHeight="1" thickBot="1">
      <c r="A1" s="1"/>
      <c r="B1" s="34" t="s">
        <v>112</v>
      </c>
      <c r="C1" s="34"/>
      <c r="D1" s="34"/>
      <c r="E1" s="34"/>
      <c r="F1" s="34"/>
      <c r="G1" s="34"/>
      <c r="H1" s="34"/>
      <c r="I1" s="34"/>
      <c r="J1" s="35"/>
      <c r="K1" s="35"/>
    </row>
    <row r="2" spans="1:13" ht="45.75" customHeight="1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  <c r="M2" s="32">
        <v>12</v>
      </c>
    </row>
    <row r="3" spans="1:13" ht="72.75" customHeight="1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  <c r="M3" s="33" t="s">
        <v>110</v>
      </c>
    </row>
    <row r="4" spans="1:13" ht="15.7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-0.219-0.009-0.061-0.034-0.036-0.195-0.022-0.089-0.27817</f>
        <v>-0.9431700000000001</v>
      </c>
      <c r="K4" s="31">
        <f aca="true" t="shared" si="0" ref="K4:K12">J4-((M4-J4)/$M$2)*(12-$M$2)</f>
        <v>-0.9431700000000001</v>
      </c>
      <c r="M4" s="32">
        <v>0</v>
      </c>
    </row>
    <row r="5" spans="1:13" ht="15.7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-0.1975-0.092-0.058-0.066-0.04-0.0655-0.1785-0.145-0.18103</f>
        <v>-1.0235299999999998</v>
      </c>
      <c r="K5" s="31">
        <f t="shared" si="0"/>
        <v>-1.0235299999999998</v>
      </c>
      <c r="M5" s="32">
        <v>0</v>
      </c>
    </row>
    <row r="6" spans="1:13" ht="15.7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f>9-0.35-0.355-0.07682</f>
        <v>8.21818</v>
      </c>
      <c r="J6" s="7">
        <f>8.988-0.35-0.355-0.07682</f>
        <v>8.20618</v>
      </c>
      <c r="K6" s="31">
        <f t="shared" si="0"/>
        <v>8.20618</v>
      </c>
      <c r="M6" s="32">
        <v>9</v>
      </c>
    </row>
    <row r="7" spans="1:13" ht="15.7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0.671-0.004-0.023-0.005-0.01937</f>
        <v>0.61963</v>
      </c>
      <c r="J7" s="7">
        <f>0.638-0.004-0.023-0.005-0.01937</f>
        <v>0.58663</v>
      </c>
      <c r="K7" s="31">
        <f t="shared" si="0"/>
        <v>0.58663</v>
      </c>
      <c r="M7" s="32">
        <v>0.68</v>
      </c>
    </row>
    <row r="8" spans="1:13" ht="15.7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2.381</v>
      </c>
      <c r="M8" s="32">
        <v>2.39</v>
      </c>
    </row>
    <row r="9" spans="1:13" ht="15.7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-0.054-0.012-0.007-0.009-0.033</f>
        <v>-0.115</v>
      </c>
      <c r="K9" s="31">
        <f t="shared" si="0"/>
        <v>-0.115</v>
      </c>
      <c r="M9" s="32">
        <v>0</v>
      </c>
    </row>
    <row r="10" spans="1:13" ht="15.7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0.49-0.002-0.032-0.0155-0.032</f>
        <v>0.4085</v>
      </c>
      <c r="J10" s="7">
        <f>0.49-0.002-0.032-0.0155-0.032</f>
        <v>0.4085</v>
      </c>
      <c r="K10" s="31">
        <f t="shared" si="0"/>
        <v>0.4085</v>
      </c>
      <c r="M10" s="32">
        <v>0.49</v>
      </c>
    </row>
    <row r="11" spans="1:13" ht="15.7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0-0.015-0.007-0.0145-0.015-0.0085</f>
        <v>-0.06</v>
      </c>
      <c r="K11" s="31">
        <f t="shared" si="0"/>
        <v>-0.06</v>
      </c>
      <c r="M11" s="32">
        <v>0</v>
      </c>
    </row>
    <row r="12" spans="1:13" ht="15.7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f>3.871-0.09183</f>
        <v>3.77917</v>
      </c>
      <c r="J12" s="7">
        <f>3.863-0.09183</f>
        <v>3.77117</v>
      </c>
      <c r="K12" s="31">
        <f t="shared" si="0"/>
        <v>3.77117</v>
      </c>
      <c r="M12" s="32">
        <v>3.88</v>
      </c>
    </row>
    <row r="13" spans="1:13" ht="15.7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>J13-((M13-J13)/$M$2)*(12-$M$2)</f>
        <v>1.5910000000000002</v>
      </c>
      <c r="M13" s="32">
        <v>1.61</v>
      </c>
    </row>
    <row r="14" spans="1:13" ht="15.75">
      <c r="A14" s="1"/>
      <c r="B14" s="11" t="s">
        <v>33</v>
      </c>
      <c r="C14" s="12" t="s">
        <v>34</v>
      </c>
      <c r="D14" s="7" t="s">
        <v>109</v>
      </c>
      <c r="E14" s="14">
        <v>6.3</v>
      </c>
      <c r="F14" s="14">
        <v>6.3</v>
      </c>
      <c r="G14" s="19">
        <v>0</v>
      </c>
      <c r="H14" s="19">
        <v>0</v>
      </c>
      <c r="I14" s="7">
        <f>2.47-0.007-0.007-0.011-0.102</f>
        <v>2.343</v>
      </c>
      <c r="J14" s="7">
        <f>2.47-0.007-0.007-0.011-0.102</f>
        <v>2.343</v>
      </c>
      <c r="K14" s="31">
        <f aca="true" t="shared" si="1" ref="K14:K44">J14-((M14-J14)/$M$2)*(12-$M$2)</f>
        <v>2.343</v>
      </c>
      <c r="M14" s="32">
        <v>2.47</v>
      </c>
    </row>
    <row r="15" spans="1:13" ht="15.7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1.95-0.014-0.06</f>
        <v>1.876</v>
      </c>
      <c r="J15" s="7">
        <f>1.941-0.014-0.06</f>
        <v>1.867</v>
      </c>
      <c r="K15" s="31">
        <f t="shared" si="1"/>
        <v>1.867</v>
      </c>
      <c r="M15" s="32">
        <v>1.95</v>
      </c>
    </row>
    <row r="16" spans="1:13" ht="15.7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3.079-0.014-0.021-0.009-0.015-0.02-0.007-0.01099</f>
        <v>2.9820100000000003</v>
      </c>
      <c r="J16" s="7">
        <f>3.04-0.014-0.021-0.009-0.015-0.02-0.007-0.01099</f>
        <v>2.94301</v>
      </c>
      <c r="K16" s="31">
        <f t="shared" si="1"/>
        <v>2.94301</v>
      </c>
      <c r="M16" s="32">
        <v>3.1</v>
      </c>
    </row>
    <row r="17" spans="1:13" ht="15.7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1.432-0.007-0.006-0.007-0.06</f>
        <v>1.352</v>
      </c>
      <c r="J17" s="7">
        <f>1.432-0.007-0.006-0.007-0.06</f>
        <v>1.352</v>
      </c>
      <c r="K17" s="31">
        <f t="shared" si="1"/>
        <v>1.352</v>
      </c>
      <c r="M17" s="32">
        <v>1.45</v>
      </c>
    </row>
    <row r="18" spans="1:13" ht="15.7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1"/>
        <v>5.59</v>
      </c>
      <c r="M18" s="32">
        <v>5.59</v>
      </c>
    </row>
    <row r="19" spans="1:13" ht="15.7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f>1.48-0.012-0.009</f>
        <v>1.459</v>
      </c>
      <c r="J19" s="7">
        <f>1.48-0.012-0.009</f>
        <v>1.459</v>
      </c>
      <c r="K19" s="31">
        <f t="shared" si="1"/>
        <v>1.459</v>
      </c>
      <c r="M19" s="32">
        <v>1.48</v>
      </c>
    </row>
    <row r="20" spans="1:13" ht="15.7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f>1.703-0.009-0.008-0.015-0.0722</f>
        <v>1.5988000000000002</v>
      </c>
      <c r="J20" s="7">
        <f>1.703-0.009-0.008-0.015-0.0722</f>
        <v>1.5988000000000002</v>
      </c>
      <c r="K20" s="31">
        <f t="shared" si="1"/>
        <v>1.5988000000000002</v>
      </c>
      <c r="M20" s="32">
        <v>1.78</v>
      </c>
    </row>
    <row r="21" spans="1:13" ht="15.7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0.693-0.007-0.007</f>
        <v>0.6789999999999999</v>
      </c>
      <c r="J21" s="7">
        <f>0.693-0.007-0.007</f>
        <v>0.6789999999999999</v>
      </c>
      <c r="K21" s="31">
        <f t="shared" si="1"/>
        <v>0.6789999999999999</v>
      </c>
      <c r="M21" s="32">
        <v>0.704</v>
      </c>
    </row>
    <row r="22" spans="1:13" ht="15.7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0.89-0.011-0.009</f>
        <v>0.87</v>
      </c>
      <c r="J22" s="7">
        <f>0.89-0.011-0.009</f>
        <v>0.87</v>
      </c>
      <c r="K22" s="31">
        <f t="shared" si="1"/>
        <v>0.87</v>
      </c>
      <c r="M22" s="32">
        <v>0.89</v>
      </c>
    </row>
    <row r="23" spans="1:13" ht="15.7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0.329-0.034-0.021-0.012-0.001-0.04</f>
        <v>0.221</v>
      </c>
      <c r="J23" s="7">
        <f>0.329-0.034-0.021-0.012-0.001-0.04</f>
        <v>0.221</v>
      </c>
      <c r="K23" s="31">
        <f t="shared" si="1"/>
        <v>0.221</v>
      </c>
      <c r="M23" s="32">
        <v>0.34</v>
      </c>
    </row>
    <row r="24" spans="1:13" ht="15.7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f>0-0.015</f>
        <v>-0.015</v>
      </c>
      <c r="K24" s="31">
        <f t="shared" si="1"/>
        <v>-0.015</v>
      </c>
      <c r="M24" s="32">
        <v>0</v>
      </c>
    </row>
    <row r="25" spans="1:13" ht="15.7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f>0.79-0.015</f>
        <v>0.775</v>
      </c>
      <c r="J25" s="7">
        <f>0.79-0.015</f>
        <v>0.775</v>
      </c>
      <c r="K25" s="31">
        <f t="shared" si="1"/>
        <v>0.775</v>
      </c>
      <c r="M25" s="32">
        <v>0.79</v>
      </c>
    </row>
    <row r="26" spans="1:13" ht="15.7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1"/>
        <v>-0.037000000000000005</v>
      </c>
      <c r="M26" s="32">
        <v>0</v>
      </c>
    </row>
    <row r="27" spans="1:13" ht="15.7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2.69-0.021-0.001</f>
        <v>2.668</v>
      </c>
      <c r="J27" s="7">
        <f>2.69-0.021-0.001</f>
        <v>2.668</v>
      </c>
      <c r="K27" s="31">
        <f t="shared" si="1"/>
        <v>2.668</v>
      </c>
      <c r="M27" s="32">
        <v>2.69</v>
      </c>
    </row>
    <row r="28" spans="1:13" ht="15.7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1"/>
        <v>1.2260000000000002</v>
      </c>
      <c r="M28" s="32">
        <v>1.24</v>
      </c>
    </row>
    <row r="29" spans="1:13" ht="15.7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1.98-0.011-0.007-0.006-0.01447</f>
        <v>1.9415300000000002</v>
      </c>
      <c r="J29" s="7">
        <f>1.98-0.011-0.007-0.006-0.01447</f>
        <v>1.9415300000000002</v>
      </c>
      <c r="K29" s="31">
        <f t="shared" si="1"/>
        <v>1.9415300000000002</v>
      </c>
      <c r="M29" s="32">
        <v>1.98</v>
      </c>
    </row>
    <row r="30" spans="1:13" ht="15.7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0.395-0.007-0.007-0.009-0.009-0.158</f>
        <v>0.205</v>
      </c>
      <c r="J30" s="7">
        <f>0.387-0.007-0.007-0.009-0.009-0.158</f>
        <v>0.19699999999999998</v>
      </c>
      <c r="K30" s="31">
        <f t="shared" si="1"/>
        <v>0.19699999999999998</v>
      </c>
      <c r="M30" s="32">
        <v>0.46</v>
      </c>
    </row>
    <row r="31" spans="1:13" ht="15.7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1.1-0.014-0.007</f>
        <v>1.0790000000000002</v>
      </c>
      <c r="J31" s="7">
        <f>1.1-0.014-0.007</f>
        <v>1.0790000000000002</v>
      </c>
      <c r="K31" s="31">
        <f t="shared" si="1"/>
        <v>1.0790000000000002</v>
      </c>
      <c r="M31" s="32">
        <v>1.1</v>
      </c>
    </row>
    <row r="32" spans="1:13" ht="15.7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f>0.849-0.04</f>
        <v>0.8089999999999999</v>
      </c>
      <c r="J32" s="7">
        <f>0.847-0.04</f>
        <v>0.8069999999999999</v>
      </c>
      <c r="K32" s="31">
        <f t="shared" si="1"/>
        <v>0.8069999999999999</v>
      </c>
      <c r="M32" s="32">
        <v>0.87</v>
      </c>
    </row>
    <row r="33" spans="1:13" ht="15.7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f>0.5-0.009</f>
        <v>0.491</v>
      </c>
      <c r="J33" s="7">
        <f>0.5-0.009</f>
        <v>0.491</v>
      </c>
      <c r="K33" s="31">
        <f t="shared" si="1"/>
        <v>0.491</v>
      </c>
      <c r="M33" s="32">
        <v>0.5</v>
      </c>
    </row>
    <row r="34" spans="1:13" ht="15.7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1"/>
        <v>0.791</v>
      </c>
      <c r="M34" s="32">
        <v>0.8</v>
      </c>
    </row>
    <row r="35" spans="1:13" ht="15.7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1.79-0.025-0.009</f>
        <v>1.7560000000000002</v>
      </c>
      <c r="J35" s="7">
        <f>1.79-0.025-0.009</f>
        <v>1.7560000000000002</v>
      </c>
      <c r="K35" s="31">
        <f t="shared" si="1"/>
        <v>1.7560000000000002</v>
      </c>
      <c r="M35" s="32">
        <v>1.79</v>
      </c>
    </row>
    <row r="36" spans="1:13" ht="15.7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1.52-0.007-0.04-0.009</f>
        <v>1.4640000000000002</v>
      </c>
      <c r="J36" s="7">
        <f>1.52-0.007-0.04-0.009</f>
        <v>1.4640000000000002</v>
      </c>
      <c r="K36" s="31">
        <f t="shared" si="1"/>
        <v>1.4640000000000002</v>
      </c>
      <c r="M36" s="32">
        <v>1.52</v>
      </c>
    </row>
    <row r="37" spans="1:13" ht="15.7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1.7-0.01-0.009-0.005</f>
        <v>1.6760000000000002</v>
      </c>
      <c r="J37" s="7">
        <f>1.659-0.01-0.009-0.005</f>
        <v>1.6350000000000002</v>
      </c>
      <c r="K37" s="31">
        <f t="shared" si="1"/>
        <v>1.6350000000000002</v>
      </c>
      <c r="M37" s="32">
        <v>1.7</v>
      </c>
    </row>
    <row r="38" spans="1:13" ht="15.7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-0.132-0.014-0.005-0.022-0.014-0.014</f>
        <v>-0.20100000000000004</v>
      </c>
      <c r="K38" s="31">
        <f t="shared" si="1"/>
        <v>-0.20100000000000004</v>
      </c>
      <c r="M38" s="32">
        <v>0</v>
      </c>
    </row>
    <row r="39" spans="1:13" ht="15.7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f>18.093-0.011-0.008-0.01-0.03237</f>
        <v>18.03163</v>
      </c>
      <c r="J39" s="7">
        <f>18.055-0.011-0.008-0.01-0.03237</f>
        <v>17.99363</v>
      </c>
      <c r="K39" s="31">
        <f t="shared" si="1"/>
        <v>17.99363</v>
      </c>
      <c r="M39" s="32">
        <v>18.11</v>
      </c>
    </row>
    <row r="40" spans="1:13" ht="15.7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-0.199-0.012-0.006-0.447-0.056-0.182-0.315-0.07045</f>
        <v>-1.28745</v>
      </c>
      <c r="K40" s="31">
        <f t="shared" si="1"/>
        <v>-1.28745</v>
      </c>
      <c r="M40" s="32">
        <v>0</v>
      </c>
    </row>
    <row r="41" spans="1:13" ht="15.7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0.194-0.021-0.002-0.015</f>
        <v>0.15600000000000003</v>
      </c>
      <c r="J41" s="7">
        <f>0.185-0.021-0.002-0.015</f>
        <v>0.14700000000000002</v>
      </c>
      <c r="K41" s="31">
        <f t="shared" si="1"/>
        <v>0.14700000000000002</v>
      </c>
      <c r="M41" s="32">
        <v>0.2</v>
      </c>
    </row>
    <row r="42" spans="1:13" ht="15.7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1"/>
        <v>4</v>
      </c>
      <c r="M42" s="32">
        <v>4</v>
      </c>
    </row>
    <row r="43" spans="1:13" ht="15.7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1"/>
        <v>1.8</v>
      </c>
      <c r="M43" s="32">
        <v>1.8</v>
      </c>
    </row>
    <row r="44" spans="1:13" ht="15.7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1"/>
        <v>0.7</v>
      </c>
      <c r="M44" s="32">
        <v>0.7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40.5" customHeight="1" thickBot="1">
      <c r="A1" s="1"/>
      <c r="B1" s="34" t="s">
        <v>105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3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v>-0.074</v>
      </c>
      <c r="K4" s="22">
        <v>0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v>-0.058</v>
      </c>
      <c r="K5" s="7">
        <v>0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v>9</v>
      </c>
      <c r="J6" s="7">
        <v>8.993</v>
      </c>
      <c r="K6" s="7">
        <v>8.993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v>0.68</v>
      </c>
      <c r="J7" s="7">
        <v>0.662</v>
      </c>
      <c r="K7" s="7">
        <v>0.662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7">
        <v>2.381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v>-0.021</v>
      </c>
      <c r="K9" s="7">
        <v>0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v>0.49</v>
      </c>
      <c r="J10" s="7">
        <v>0.49</v>
      </c>
      <c r="K10" s="7">
        <v>0.49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v>0</v>
      </c>
      <c r="K11" s="7">
        <v>0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3.88</v>
      </c>
      <c r="J12" s="7">
        <v>3.872</v>
      </c>
      <c r="K12" s="7">
        <v>3.872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v>1.61</v>
      </c>
      <c r="J13" s="7">
        <v>1.61</v>
      </c>
      <c r="K13" s="7">
        <v>1.61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v>2.47</v>
      </c>
      <c r="J14" s="7">
        <v>2.47</v>
      </c>
      <c r="K14" s="7">
        <v>2.47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v>1.95</v>
      </c>
      <c r="J15" s="7">
        <v>1.941</v>
      </c>
      <c r="K15" s="7">
        <v>1.941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v>3.1</v>
      </c>
      <c r="J16" s="7">
        <v>3.075</v>
      </c>
      <c r="K16" s="7">
        <v>3.075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v>1.45</v>
      </c>
      <c r="J17" s="7">
        <v>1.45</v>
      </c>
      <c r="K17" s="7">
        <v>1.45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7">
        <v>5.59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v>1.48</v>
      </c>
      <c r="J19" s="7">
        <v>1.48</v>
      </c>
      <c r="K19" s="7">
        <v>1.48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v>1.78</v>
      </c>
      <c r="J20" s="7">
        <v>1.78</v>
      </c>
      <c r="K20" s="7">
        <v>1.78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v>0.704</v>
      </c>
      <c r="J21" s="7">
        <v>0.704</v>
      </c>
      <c r="K21" s="7">
        <v>0.704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v>0.89</v>
      </c>
      <c r="J22" s="7">
        <v>0.89</v>
      </c>
      <c r="K22" s="7">
        <v>0.89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v>0.34</v>
      </c>
      <c r="J23" s="7">
        <v>0.34</v>
      </c>
      <c r="K23" s="7">
        <v>0.34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7"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7">
        <v>0.79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v>-0.008</v>
      </c>
      <c r="K26" s="7">
        <v>0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v>2.69</v>
      </c>
      <c r="J27" s="7">
        <v>2.69</v>
      </c>
      <c r="K27" s="7">
        <v>2.69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v>1.24</v>
      </c>
      <c r="J28" s="17">
        <v>1.233</v>
      </c>
      <c r="K28" s="17">
        <v>1.233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v>1.98</v>
      </c>
      <c r="J29" s="7">
        <v>1.98</v>
      </c>
      <c r="K29" s="7">
        <v>1.98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v>0.46</v>
      </c>
      <c r="J30" s="7">
        <v>0.46</v>
      </c>
      <c r="K30" s="7">
        <v>0.46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v>1.1</v>
      </c>
      <c r="J31" s="7">
        <v>1.1</v>
      </c>
      <c r="K31" s="7">
        <v>1.1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0.87</v>
      </c>
      <c r="J32" s="7">
        <v>0.87</v>
      </c>
      <c r="K32" s="7">
        <v>0.87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7">
        <v>0.5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0.8</v>
      </c>
      <c r="J34" s="7">
        <v>0.8</v>
      </c>
      <c r="K34" s="7">
        <v>0.8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v>1.79</v>
      </c>
      <c r="J35" s="7">
        <v>1.79</v>
      </c>
      <c r="K35" s="7">
        <v>1.79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v>1.52</v>
      </c>
      <c r="J36" s="7">
        <v>1.52</v>
      </c>
      <c r="K36" s="7">
        <v>1.52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v>1.7</v>
      </c>
      <c r="J37" s="7">
        <v>1.689</v>
      </c>
      <c r="K37" s="7">
        <v>1.689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v>-0.009</v>
      </c>
      <c r="K38" s="7">
        <v>0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18.11</v>
      </c>
      <c r="J39" s="7">
        <v>18.102</v>
      </c>
      <c r="K39" s="7">
        <v>18.102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v>-0.124</v>
      </c>
      <c r="K40" s="7">
        <v>0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v>0.2</v>
      </c>
      <c r="J41" s="7">
        <v>0.191</v>
      </c>
      <c r="K41" s="7">
        <v>0.191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7">
        <v>4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7">
        <v>1.8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7">
        <v>0.7</v>
      </c>
    </row>
    <row r="45" spans="1:11" ht="15">
      <c r="A45" s="28"/>
      <c r="B45" s="29"/>
      <c r="C45" s="29"/>
      <c r="D45" s="6"/>
      <c r="E45" s="6"/>
      <c r="F45" s="6"/>
      <c r="G45" s="6"/>
      <c r="H45" s="6"/>
      <c r="I45" s="6"/>
      <c r="J45" s="6"/>
      <c r="K45" s="6"/>
    </row>
    <row r="46" spans="1:11" ht="15">
      <c r="A46" s="27"/>
      <c r="B46" s="30"/>
      <c r="C46" s="29"/>
      <c r="D46" s="6"/>
      <c r="E46" s="6"/>
      <c r="F46" s="6"/>
      <c r="G46" s="6"/>
      <c r="H46" s="6"/>
      <c r="I46" s="6"/>
      <c r="J46" s="6"/>
      <c r="K46" s="6"/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51.75" customHeight="1" thickBot="1">
      <c r="A1" s="1"/>
      <c r="B1" s="34" t="s">
        <v>104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v>-0.152</v>
      </c>
      <c r="K4" s="31">
        <f>J4/0.85</f>
        <v>-0.17882352941176471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v>-0.094</v>
      </c>
      <c r="K5" s="31">
        <f aca="true" t="shared" si="0" ref="K5:K44">J5/0.85</f>
        <v>-0.11058823529411765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v>9</v>
      </c>
      <c r="J6" s="7">
        <v>8.988</v>
      </c>
      <c r="K6" s="31">
        <f t="shared" si="0"/>
        <v>10.574117647058824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v>0.68</v>
      </c>
      <c r="J7" s="7">
        <v>0.647</v>
      </c>
      <c r="K7" s="31">
        <f t="shared" si="0"/>
        <v>0.7611764705882353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v>-0.03</v>
      </c>
      <c r="K9" s="31">
        <f t="shared" si="0"/>
        <v>-0.03529411764705882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v>0.49</v>
      </c>
      <c r="J10" s="7">
        <v>0.49</v>
      </c>
      <c r="K10" s="31">
        <f t="shared" si="0"/>
        <v>0.5764705882352941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v>0</v>
      </c>
      <c r="K11" s="31">
        <f t="shared" si="0"/>
        <v>0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3.88</v>
      </c>
      <c r="J12" s="7">
        <v>3.872</v>
      </c>
      <c r="K12" s="31">
        <f t="shared" si="0"/>
        <v>4.555294117647059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v>1.61</v>
      </c>
      <c r="J13" s="7">
        <v>1.61</v>
      </c>
      <c r="K13" s="31">
        <f t="shared" si="0"/>
        <v>1.8941176470588237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v>2.47</v>
      </c>
      <c r="J14" s="7">
        <v>2.47</v>
      </c>
      <c r="K14" s="31">
        <f t="shared" si="0"/>
        <v>2.905882352941177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v>1.95</v>
      </c>
      <c r="J15" s="7">
        <v>1.941</v>
      </c>
      <c r="K15" s="31">
        <f t="shared" si="0"/>
        <v>2.283529411764706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v>3.1</v>
      </c>
      <c r="J16" s="7">
        <v>3.061</v>
      </c>
      <c r="K16" s="31">
        <f t="shared" si="0"/>
        <v>3.601176470588235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v>1.45</v>
      </c>
      <c r="J17" s="7">
        <v>1.45</v>
      </c>
      <c r="K17" s="31">
        <f t="shared" si="0"/>
        <v>1.7058823529411764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v>1.48</v>
      </c>
      <c r="J19" s="7">
        <v>1.48</v>
      </c>
      <c r="K19" s="31">
        <f t="shared" si="0"/>
        <v>1.7411764705882353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v>1.78</v>
      </c>
      <c r="J20" s="7">
        <v>1.78</v>
      </c>
      <c r="K20" s="31">
        <f t="shared" si="0"/>
        <v>2.0941176470588236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v>0.704</v>
      </c>
      <c r="J21" s="7">
        <v>0.704</v>
      </c>
      <c r="K21" s="31">
        <f t="shared" si="0"/>
        <v>0.8282352941176471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v>0.89</v>
      </c>
      <c r="J22" s="7">
        <v>0.89</v>
      </c>
      <c r="K22" s="31">
        <f t="shared" si="0"/>
        <v>1.0470588235294118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v>0.34</v>
      </c>
      <c r="J23" s="7">
        <v>0.34</v>
      </c>
      <c r="K23" s="31">
        <f t="shared" si="0"/>
        <v>0.4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31">
        <f t="shared" si="0"/>
        <v>0.9294117647058824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v>-0.008</v>
      </c>
      <c r="K26" s="31">
        <f t="shared" si="0"/>
        <v>-0.009411764705882354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v>2.69</v>
      </c>
      <c r="J27" s="7">
        <v>2.69</v>
      </c>
      <c r="K27" s="31">
        <f t="shared" si="0"/>
        <v>3.164705882352941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v>1.24</v>
      </c>
      <c r="J28" s="17">
        <v>1.233</v>
      </c>
      <c r="K28" s="31">
        <f t="shared" si="0"/>
        <v>1.4505882352941177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v>1.98</v>
      </c>
      <c r="J29" s="7">
        <v>1.98</v>
      </c>
      <c r="K29" s="31">
        <f t="shared" si="0"/>
        <v>2.3294117647058825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v>0.46</v>
      </c>
      <c r="J30" s="7">
        <v>0.452</v>
      </c>
      <c r="K30" s="31">
        <f t="shared" si="0"/>
        <v>0.5317647058823529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v>1.1</v>
      </c>
      <c r="J31" s="7">
        <v>1.1</v>
      </c>
      <c r="K31" s="31">
        <f t="shared" si="0"/>
        <v>1.2941176470588236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0.87</v>
      </c>
      <c r="J32" s="7">
        <v>0.868</v>
      </c>
      <c r="K32" s="31">
        <f t="shared" si="0"/>
        <v>1.0211764705882354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0.8</v>
      </c>
      <c r="J34" s="7">
        <v>0.8</v>
      </c>
      <c r="K34" s="31">
        <f t="shared" si="0"/>
        <v>0.9411764705882354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v>1.79</v>
      </c>
      <c r="J35" s="7">
        <v>1.79</v>
      </c>
      <c r="K35" s="31">
        <f t="shared" si="0"/>
        <v>2.1058823529411765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v>1.52</v>
      </c>
      <c r="J36" s="7">
        <v>1.52</v>
      </c>
      <c r="K36" s="31">
        <f t="shared" si="0"/>
        <v>1.7882352941176471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v>1.7</v>
      </c>
      <c r="J37" s="7">
        <v>1.659</v>
      </c>
      <c r="K37" s="31">
        <f t="shared" si="0"/>
        <v>1.951764705882353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v>-0.067</v>
      </c>
      <c r="K38" s="31">
        <f t="shared" si="0"/>
        <v>-0.07882352941176471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18.11</v>
      </c>
      <c r="J39" s="7">
        <v>18.072</v>
      </c>
      <c r="K39" s="31">
        <f t="shared" si="0"/>
        <v>21.261176470588236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v>-0.199</v>
      </c>
      <c r="K40" s="31">
        <f t="shared" si="0"/>
        <v>-0.23411764705882354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v>0.2</v>
      </c>
      <c r="J41" s="7">
        <v>0.191</v>
      </c>
      <c r="K41" s="31">
        <f t="shared" si="0"/>
        <v>0.2247058823529412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M10" sqref="M10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47.25" customHeight="1" thickBot="1">
      <c r="A1" s="1"/>
      <c r="B1" s="34" t="s">
        <v>103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v>-0.219</v>
      </c>
      <c r="K4" s="31">
        <f>J4/0.85</f>
        <v>-0.2576470588235294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v>-0.1975</v>
      </c>
      <c r="K5" s="31">
        <f aca="true" t="shared" si="0" ref="K5:K44">J5/0.85</f>
        <v>-0.2323529411764706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v>9</v>
      </c>
      <c r="J6" s="7">
        <v>8.988</v>
      </c>
      <c r="K6" s="31">
        <f t="shared" si="0"/>
        <v>10.574117647058824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v>0.671</v>
      </c>
      <c r="J7" s="7">
        <v>0.638</v>
      </c>
      <c r="K7" s="31">
        <f t="shared" si="0"/>
        <v>0.7505882352941177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v>-0.054</v>
      </c>
      <c r="K9" s="31">
        <f t="shared" si="0"/>
        <v>-0.06352941176470589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v>0.49</v>
      </c>
      <c r="J10" s="7">
        <v>0.49</v>
      </c>
      <c r="K10" s="31">
        <f t="shared" si="0"/>
        <v>0.5764705882352941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v>0</v>
      </c>
      <c r="K11" s="31">
        <f t="shared" si="0"/>
        <v>0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4.544705882352941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v>1.61</v>
      </c>
      <c r="J13" s="7">
        <v>1.61</v>
      </c>
      <c r="K13" s="31">
        <f t="shared" si="0"/>
        <v>1.8941176470588237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v>2.47</v>
      </c>
      <c r="J14" s="7">
        <v>2.47</v>
      </c>
      <c r="K14" s="31">
        <f t="shared" si="0"/>
        <v>2.905882352941177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v>1.95</v>
      </c>
      <c r="J15" s="7">
        <v>1.941</v>
      </c>
      <c r="K15" s="31">
        <f t="shared" si="0"/>
        <v>2.283529411764706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v>3.079</v>
      </c>
      <c r="J16" s="7">
        <v>3.04</v>
      </c>
      <c r="K16" s="31">
        <f t="shared" si="0"/>
        <v>3.5764705882352943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v>1.432</v>
      </c>
      <c r="J17" s="7">
        <v>1.432</v>
      </c>
      <c r="K17" s="31">
        <f t="shared" si="0"/>
        <v>1.684705882352941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v>1.48</v>
      </c>
      <c r="J19" s="7">
        <v>1.48</v>
      </c>
      <c r="K19" s="31">
        <f t="shared" si="0"/>
        <v>1.7411764705882353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v>1.703</v>
      </c>
      <c r="J20" s="7">
        <v>1.703</v>
      </c>
      <c r="K20" s="31">
        <f t="shared" si="0"/>
        <v>2.0035294117647062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v>0.693</v>
      </c>
      <c r="J21" s="7">
        <v>0.693</v>
      </c>
      <c r="K21" s="31">
        <f t="shared" si="0"/>
        <v>0.8152941176470588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v>0.89</v>
      </c>
      <c r="J22" s="7">
        <v>0.89</v>
      </c>
      <c r="K22" s="31">
        <f t="shared" si="0"/>
        <v>1.0470588235294118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v>0.329</v>
      </c>
      <c r="J23" s="7">
        <v>0.329</v>
      </c>
      <c r="K23" s="31">
        <f t="shared" si="0"/>
        <v>0.3870588235294118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31">
        <f t="shared" si="0"/>
        <v>0.9294117647058824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v>-0.016</v>
      </c>
      <c r="K26" s="31">
        <f t="shared" si="0"/>
        <v>-0.018823529411764708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v>2.69</v>
      </c>
      <c r="J27" s="7">
        <v>2.69</v>
      </c>
      <c r="K27" s="31">
        <f t="shared" si="0"/>
        <v>3.164705882352941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v>1.24</v>
      </c>
      <c r="J28" s="17">
        <v>1.233</v>
      </c>
      <c r="K28" s="31">
        <f t="shared" si="0"/>
        <v>1.4505882352941177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v>1.98</v>
      </c>
      <c r="J29" s="7">
        <v>1.98</v>
      </c>
      <c r="K29" s="31">
        <f t="shared" si="0"/>
        <v>2.3294117647058825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v>0.395</v>
      </c>
      <c r="J30" s="7">
        <v>0.387</v>
      </c>
      <c r="K30" s="31">
        <f t="shared" si="0"/>
        <v>0.45529411764705885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v>1.1</v>
      </c>
      <c r="J31" s="7">
        <v>1.1</v>
      </c>
      <c r="K31" s="31">
        <f t="shared" si="0"/>
        <v>1.2941176470588236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0"/>
        <v>0.9964705882352941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0"/>
        <v>0.9305882352941177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v>1.79</v>
      </c>
      <c r="J35" s="7">
        <v>1.79</v>
      </c>
      <c r="K35" s="31">
        <f t="shared" si="0"/>
        <v>2.1058823529411765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v>1.52</v>
      </c>
      <c r="J36" s="7">
        <v>1.52</v>
      </c>
      <c r="K36" s="31">
        <f t="shared" si="0"/>
        <v>1.7882352941176471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v>1.7</v>
      </c>
      <c r="J37" s="7">
        <v>1.659</v>
      </c>
      <c r="K37" s="31">
        <f t="shared" si="0"/>
        <v>1.951764705882353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v>-0.132</v>
      </c>
      <c r="K38" s="31">
        <f t="shared" si="0"/>
        <v>-0.15529411764705883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18.093</v>
      </c>
      <c r="J39" s="7">
        <v>18.055</v>
      </c>
      <c r="K39" s="31">
        <f t="shared" si="0"/>
        <v>21.241176470588236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v>-0.199</v>
      </c>
      <c r="K40" s="31">
        <f t="shared" si="0"/>
        <v>-0.23411764705882354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v>0.194</v>
      </c>
      <c r="J41" s="7">
        <v>0.185</v>
      </c>
      <c r="K41" s="31">
        <f t="shared" si="0"/>
        <v>0.21764705882352942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B1" sqref="B1:K1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52.5" customHeight="1" thickBot="1">
      <c r="A1" s="1"/>
      <c r="B1" s="34" t="s">
        <v>102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</f>
        <v>-0.228</v>
      </c>
      <c r="K4" s="31">
        <f>J4/0.85</f>
        <v>-0.26823529411764707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</f>
        <v>-0.2895</v>
      </c>
      <c r="K5" s="31">
        <f aca="true" t="shared" si="0" ref="K5:K44">J5/0.85</f>
        <v>-0.34058823529411764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v>9</v>
      </c>
      <c r="J6" s="7">
        <v>8.988</v>
      </c>
      <c r="K6" s="31">
        <f t="shared" si="0"/>
        <v>10.574117647058824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</f>
        <v>0.667</v>
      </c>
      <c r="J7" s="7">
        <f>0.638-0.004</f>
        <v>0.634</v>
      </c>
      <c r="K7" s="31">
        <f t="shared" si="0"/>
        <v>0.7458823529411766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v>-0.054</v>
      </c>
      <c r="K9" s="31">
        <f t="shared" si="0"/>
        <v>-0.06352941176470589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v>0.49</v>
      </c>
      <c r="J10" s="7">
        <v>0.49</v>
      </c>
      <c r="K10" s="31">
        <f t="shared" si="0"/>
        <v>0.5764705882352941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</f>
        <v>-0.015</v>
      </c>
      <c r="K11" s="31">
        <f t="shared" si="0"/>
        <v>-0.01764705882352941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4.544705882352941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v>1.61</v>
      </c>
      <c r="J13" s="7">
        <v>1.61</v>
      </c>
      <c r="K13" s="31">
        <f t="shared" si="0"/>
        <v>1.8941176470588237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v>2.47</v>
      </c>
      <c r="J14" s="7">
        <v>2.47</v>
      </c>
      <c r="K14" s="31">
        <f t="shared" si="0"/>
        <v>2.905882352941177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0"/>
        <v>2.267058823529412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</f>
        <v>3.0650000000000004</v>
      </c>
      <c r="J16" s="7">
        <f>3.04-0.014</f>
        <v>3.0260000000000002</v>
      </c>
      <c r="K16" s="31">
        <f t="shared" si="0"/>
        <v>3.5600000000000005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</f>
        <v>1.425</v>
      </c>
      <c r="J17" s="7">
        <f>1.432-0.007</f>
        <v>1.425</v>
      </c>
      <c r="K17" s="31">
        <f t="shared" si="0"/>
        <v>1.6764705882352942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v>1.48</v>
      </c>
      <c r="J19" s="7">
        <v>1.48</v>
      </c>
      <c r="K19" s="31">
        <f t="shared" si="0"/>
        <v>1.7411764705882353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v>1.703</v>
      </c>
      <c r="J20" s="7">
        <v>1.703</v>
      </c>
      <c r="K20" s="31">
        <f t="shared" si="0"/>
        <v>2.0035294117647062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v>0.693</v>
      </c>
      <c r="J21" s="7">
        <v>0.693</v>
      </c>
      <c r="K21" s="31">
        <f t="shared" si="0"/>
        <v>0.8152941176470588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v>0.89</v>
      </c>
      <c r="J22" s="7">
        <v>0.89</v>
      </c>
      <c r="K22" s="31">
        <f t="shared" si="0"/>
        <v>1.0470588235294118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</f>
        <v>0.29500000000000004</v>
      </c>
      <c r="J23" s="7">
        <f>0.329-0.034</f>
        <v>0.29500000000000004</v>
      </c>
      <c r="K23" s="31">
        <f t="shared" si="0"/>
        <v>0.3470588235294118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31">
        <f t="shared" si="0"/>
        <v>0.9294117647058824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0"/>
        <v>-0.04352941176470589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</f>
        <v>2.669</v>
      </c>
      <c r="J27" s="7">
        <f>2.69-0.021</f>
        <v>2.669</v>
      </c>
      <c r="K27" s="31">
        <f t="shared" si="0"/>
        <v>3.14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0"/>
        <v>1.4423529411764708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</f>
        <v>1.969</v>
      </c>
      <c r="J29" s="7">
        <f>1.98-0.011</f>
        <v>1.969</v>
      </c>
      <c r="K29" s="31">
        <f t="shared" si="0"/>
        <v>2.316470588235294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v>0.395</v>
      </c>
      <c r="J30" s="7">
        <v>0.387</v>
      </c>
      <c r="K30" s="31">
        <f t="shared" si="0"/>
        <v>0.45529411764705885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v>1.1</v>
      </c>
      <c r="J31" s="7">
        <v>1.1</v>
      </c>
      <c r="K31" s="31">
        <f t="shared" si="0"/>
        <v>1.2941176470588236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0"/>
        <v>0.9964705882352941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0"/>
        <v>0.9305882352941177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</f>
        <v>1.7650000000000001</v>
      </c>
      <c r="J35" s="7">
        <f>1.79-0.025</f>
        <v>1.7650000000000001</v>
      </c>
      <c r="K35" s="31">
        <f t="shared" si="0"/>
        <v>2.0764705882352943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v>1.52</v>
      </c>
      <c r="J36" s="7">
        <v>1.52</v>
      </c>
      <c r="K36" s="31">
        <f t="shared" si="0"/>
        <v>1.7882352941176471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v>1.7</v>
      </c>
      <c r="J37" s="7">
        <v>1.659</v>
      </c>
      <c r="K37" s="31">
        <f t="shared" si="0"/>
        <v>1.951764705882353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</f>
        <v>-0.14600000000000002</v>
      </c>
      <c r="K38" s="31">
        <f t="shared" si="0"/>
        <v>-0.17176470588235296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18.093</v>
      </c>
      <c r="J39" s="7">
        <v>18.055</v>
      </c>
      <c r="K39" s="31">
        <f t="shared" si="0"/>
        <v>21.241176470588236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v>-0.199</v>
      </c>
      <c r="K40" s="31">
        <f t="shared" si="0"/>
        <v>-0.23411764705882354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v>0.194</v>
      </c>
      <c r="J41" s="7">
        <v>0.185</v>
      </c>
      <c r="K41" s="31">
        <f t="shared" si="0"/>
        <v>0.21764705882352942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">
      <selection activeCell="B1" sqref="B1:K1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45.75" customHeight="1" thickBot="1">
      <c r="A1" s="1"/>
      <c r="B1" s="34" t="s">
        <v>101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</f>
        <v>-0.28900000000000003</v>
      </c>
      <c r="K4" s="31">
        <f>J4/0.85</f>
        <v>-0.34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</f>
        <v>-0.3475</v>
      </c>
      <c r="K5" s="31">
        <f aca="true" t="shared" si="0" ref="K5:K44">J5/0.85</f>
        <v>-0.4088235294117647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v>9</v>
      </c>
      <c r="J6" s="7">
        <v>8.988</v>
      </c>
      <c r="K6" s="31">
        <f t="shared" si="0"/>
        <v>10.574117647058824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</f>
        <v>0.667</v>
      </c>
      <c r="J7" s="7">
        <f>0.638-0.004</f>
        <v>0.634</v>
      </c>
      <c r="K7" s="31">
        <f t="shared" si="0"/>
        <v>0.7458823529411766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</f>
        <v>-0.066</v>
      </c>
      <c r="K9" s="31">
        <f t="shared" si="0"/>
        <v>-0.07764705882352942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</f>
        <v>0.488</v>
      </c>
      <c r="J10" s="7">
        <f>0.49-0.002</f>
        <v>0.488</v>
      </c>
      <c r="K10" s="31">
        <f t="shared" si="0"/>
        <v>0.5741176470588235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</f>
        <v>-0.022</v>
      </c>
      <c r="K11" s="31">
        <f t="shared" si="0"/>
        <v>-0.02588235294117647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4.544705882352941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 t="shared" si="0"/>
        <v>1.8717647058823532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f>2.47-0.007</f>
        <v>2.463</v>
      </c>
      <c r="J14" s="7">
        <f>2.47-0.007</f>
        <v>2.463</v>
      </c>
      <c r="K14" s="31">
        <f t="shared" si="0"/>
        <v>2.8976470588235297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0"/>
        <v>2.267058823529412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</f>
        <v>3.0440000000000005</v>
      </c>
      <c r="J16" s="7">
        <f>3.04-0.014-0.021</f>
        <v>3.0050000000000003</v>
      </c>
      <c r="K16" s="31">
        <f t="shared" si="0"/>
        <v>3.535294117647059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</f>
        <v>1.425</v>
      </c>
      <c r="J17" s="7">
        <f>1.432-0.007</f>
        <v>1.425</v>
      </c>
      <c r="K17" s="31">
        <f t="shared" si="0"/>
        <v>1.6764705882352942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v>1.48</v>
      </c>
      <c r="J19" s="7">
        <v>1.48</v>
      </c>
      <c r="K19" s="31">
        <f t="shared" si="0"/>
        <v>1.7411764705882353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v>1.703</v>
      </c>
      <c r="J20" s="7">
        <v>1.703</v>
      </c>
      <c r="K20" s="31">
        <f t="shared" si="0"/>
        <v>2.0035294117647062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</f>
        <v>0.6859999999999999</v>
      </c>
      <c r="J21" s="7">
        <f>0.693-0.007</f>
        <v>0.6859999999999999</v>
      </c>
      <c r="K21" s="31">
        <f t="shared" si="0"/>
        <v>0.8070588235294117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</f>
        <v>0.879</v>
      </c>
      <c r="J22" s="7">
        <f>0.89-0.011</f>
        <v>0.879</v>
      </c>
      <c r="K22" s="31">
        <f t="shared" si="0"/>
        <v>1.0341176470588236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</f>
        <v>0.29500000000000004</v>
      </c>
      <c r="J23" s="7">
        <f>0.329-0.034</f>
        <v>0.29500000000000004</v>
      </c>
      <c r="K23" s="31">
        <f t="shared" si="0"/>
        <v>0.3470588235294118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31">
        <f t="shared" si="0"/>
        <v>0.9294117647058824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0"/>
        <v>-0.04352941176470589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</f>
        <v>2.669</v>
      </c>
      <c r="J27" s="7">
        <f>2.69-0.021</f>
        <v>2.669</v>
      </c>
      <c r="K27" s="31">
        <f t="shared" si="0"/>
        <v>3.14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0"/>
        <v>1.4423529411764708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</f>
        <v>1.969</v>
      </c>
      <c r="J29" s="7">
        <f>1.98-0.011</f>
        <v>1.969</v>
      </c>
      <c r="K29" s="31">
        <f t="shared" si="0"/>
        <v>2.316470588235294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</f>
        <v>0.388</v>
      </c>
      <c r="J30" s="7">
        <f>0.387-0.007</f>
        <v>0.38</v>
      </c>
      <c r="K30" s="31">
        <f t="shared" si="0"/>
        <v>0.4470588235294118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</f>
        <v>1.086</v>
      </c>
      <c r="J31" s="7">
        <f>1.1-0.014</f>
        <v>1.086</v>
      </c>
      <c r="K31" s="31">
        <f t="shared" si="0"/>
        <v>1.2776470588235296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0"/>
        <v>0.9964705882352941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0"/>
        <v>0.9305882352941177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</f>
        <v>1.7650000000000001</v>
      </c>
      <c r="J35" s="7">
        <f>1.79-0.025</f>
        <v>1.7650000000000001</v>
      </c>
      <c r="K35" s="31">
        <f t="shared" si="0"/>
        <v>2.0764705882352943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</f>
        <v>1.5130000000000001</v>
      </c>
      <c r="J36" s="7">
        <f>1.52-0.007</f>
        <v>1.5130000000000001</v>
      </c>
      <c r="K36" s="31">
        <f t="shared" si="0"/>
        <v>1.7800000000000002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</f>
        <v>1.69</v>
      </c>
      <c r="J37" s="7">
        <f>1.659-0.01</f>
        <v>1.649</v>
      </c>
      <c r="K37" s="31">
        <f t="shared" si="0"/>
        <v>1.9400000000000002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</f>
        <v>-0.15100000000000002</v>
      </c>
      <c r="K38" s="31">
        <f t="shared" si="0"/>
        <v>-0.17764705882352944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18.093</v>
      </c>
      <c r="J39" s="7">
        <v>18.055</v>
      </c>
      <c r="K39" s="31">
        <f t="shared" si="0"/>
        <v>21.241176470588236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</f>
        <v>-0.21100000000000002</v>
      </c>
      <c r="K40" s="31">
        <f t="shared" si="0"/>
        <v>-0.24823529411764708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</f>
        <v>0.17300000000000001</v>
      </c>
      <c r="J41" s="7">
        <f>0.185-0.021</f>
        <v>0.164</v>
      </c>
      <c r="K41" s="31">
        <f t="shared" si="0"/>
        <v>0.19294117647058825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L8" sqref="L8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47.25" customHeight="1" thickBot="1">
      <c r="A1" s="1"/>
      <c r="B1" s="34" t="s">
        <v>100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-0.219-0.009-0.061-0.034</f>
        <v>-0.32300000000000006</v>
      </c>
      <c r="K4" s="31">
        <f>J4/0.85</f>
        <v>-0.38000000000000006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-0.1975-0.092-0.058-0.066</f>
        <v>-0.4135</v>
      </c>
      <c r="K5" s="31">
        <f aca="true" t="shared" si="0" ref="K5:K44">J5/0.85</f>
        <v>-0.4864705882352941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f>9-0.35</f>
        <v>8.65</v>
      </c>
      <c r="J6" s="7">
        <f>8.988-0.35</f>
        <v>8.638</v>
      </c>
      <c r="K6" s="31">
        <f t="shared" si="0"/>
        <v>10.16235294117647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</f>
        <v>0.667</v>
      </c>
      <c r="J7" s="7">
        <f>0.638-0.004</f>
        <v>0.634</v>
      </c>
      <c r="K7" s="31">
        <f t="shared" si="0"/>
        <v>0.7458823529411766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-0.054-0.012-0.007</f>
        <v>-0.07300000000000001</v>
      </c>
      <c r="K9" s="31">
        <f t="shared" si="0"/>
        <v>-0.08588235294117648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0.49-0.002-0.032</f>
        <v>0.45599999999999996</v>
      </c>
      <c r="J10" s="7">
        <f>0.49-0.002-0.032</f>
        <v>0.45599999999999996</v>
      </c>
      <c r="K10" s="31">
        <f t="shared" si="0"/>
        <v>0.536470588235294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</f>
        <v>-0.022</v>
      </c>
      <c r="K11" s="31">
        <f t="shared" si="0"/>
        <v>-0.02588235294117647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4.544705882352941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 t="shared" si="0"/>
        <v>1.8717647058823532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f>2.47-0.007-0.007</f>
        <v>2.456</v>
      </c>
      <c r="J14" s="7">
        <f>2.47-0.007-0.007</f>
        <v>2.456</v>
      </c>
      <c r="K14" s="31">
        <f t="shared" si="0"/>
        <v>2.8894117647058826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0"/>
        <v>2.267058823529412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3.079-0.014-0.021-0.009</f>
        <v>3.0350000000000006</v>
      </c>
      <c r="J16" s="7">
        <f>3.04-0.014-0.021-0.009</f>
        <v>2.9960000000000004</v>
      </c>
      <c r="K16" s="31">
        <f t="shared" si="0"/>
        <v>3.524705882352942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</f>
        <v>1.425</v>
      </c>
      <c r="J17" s="7">
        <f>1.432-0.007</f>
        <v>1.425</v>
      </c>
      <c r="K17" s="31">
        <f t="shared" si="0"/>
        <v>1.6764705882352942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f>1.48-0.012</f>
        <v>1.468</v>
      </c>
      <c r="J19" s="7">
        <f>1.48-0.012</f>
        <v>1.468</v>
      </c>
      <c r="K19" s="31">
        <f t="shared" si="0"/>
        <v>1.7270588235294118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f>1.703-0.009</f>
        <v>1.6940000000000002</v>
      </c>
      <c r="J20" s="7">
        <f>1.703-0.009</f>
        <v>1.6940000000000002</v>
      </c>
      <c r="K20" s="31">
        <f t="shared" si="0"/>
        <v>1.9929411764705884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</f>
        <v>0.6859999999999999</v>
      </c>
      <c r="J21" s="7">
        <f>0.693-0.007</f>
        <v>0.6859999999999999</v>
      </c>
      <c r="K21" s="31">
        <f t="shared" si="0"/>
        <v>0.8070588235294117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</f>
        <v>0.879</v>
      </c>
      <c r="J22" s="7">
        <f>0.89-0.011</f>
        <v>0.879</v>
      </c>
      <c r="K22" s="31">
        <f t="shared" si="0"/>
        <v>1.0341176470588236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0.329-0.034-0.021</f>
        <v>0.274</v>
      </c>
      <c r="J23" s="7">
        <f>0.329-0.034-0.021</f>
        <v>0.274</v>
      </c>
      <c r="K23" s="31">
        <f t="shared" si="0"/>
        <v>0.3223529411764706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v>0.79</v>
      </c>
      <c r="J25" s="7">
        <v>0.79</v>
      </c>
      <c r="K25" s="31">
        <f t="shared" si="0"/>
        <v>0.9294117647058824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0"/>
        <v>-0.04352941176470589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</f>
        <v>2.669</v>
      </c>
      <c r="J27" s="7">
        <f>2.69-0.021</f>
        <v>2.669</v>
      </c>
      <c r="K27" s="31">
        <f t="shared" si="0"/>
        <v>3.14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0"/>
        <v>1.4423529411764708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1.98-0.011-0.007</f>
        <v>1.9620000000000002</v>
      </c>
      <c r="J29" s="7">
        <f>1.98-0.011-0.007</f>
        <v>1.9620000000000002</v>
      </c>
      <c r="K29" s="31">
        <f t="shared" si="0"/>
        <v>2.3082352941176474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0.395-0.007-0.007</f>
        <v>0.381</v>
      </c>
      <c r="J30" s="7">
        <f>0.387-0.007-0.007</f>
        <v>0.373</v>
      </c>
      <c r="K30" s="31">
        <f t="shared" si="0"/>
        <v>0.4388235294117647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1.1-0.014-0.007</f>
        <v>1.0790000000000002</v>
      </c>
      <c r="J31" s="7">
        <f>1.1-0.014-0.007</f>
        <v>1.0790000000000002</v>
      </c>
      <c r="K31" s="31">
        <f t="shared" si="0"/>
        <v>1.2694117647058827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0"/>
        <v>0.9964705882352941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0"/>
        <v>0.9305882352941177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</f>
        <v>1.7650000000000001</v>
      </c>
      <c r="J35" s="7">
        <f>1.79-0.025</f>
        <v>1.7650000000000001</v>
      </c>
      <c r="K35" s="31">
        <f t="shared" si="0"/>
        <v>2.0764705882352943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</f>
        <v>1.5130000000000001</v>
      </c>
      <c r="J36" s="7">
        <f>1.52-0.007</f>
        <v>1.5130000000000001</v>
      </c>
      <c r="K36" s="31">
        <f t="shared" si="0"/>
        <v>1.7800000000000002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</f>
        <v>1.69</v>
      </c>
      <c r="J37" s="7">
        <f>1.659-0.01</f>
        <v>1.649</v>
      </c>
      <c r="K37" s="31">
        <f t="shared" si="0"/>
        <v>1.9400000000000002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-0.132-0.014-0.005-0.022</f>
        <v>-0.17300000000000001</v>
      </c>
      <c r="K38" s="31">
        <f t="shared" si="0"/>
        <v>-0.2035294117647059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v>18.093</v>
      </c>
      <c r="J39" s="7">
        <v>18.055</v>
      </c>
      <c r="K39" s="31">
        <f t="shared" si="0"/>
        <v>21.241176470588236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-0.199-0.012-0.006</f>
        <v>-0.21700000000000003</v>
      </c>
      <c r="K40" s="31">
        <f t="shared" si="0"/>
        <v>-0.25529411764705884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</f>
        <v>0.17300000000000001</v>
      </c>
      <c r="J41" s="7">
        <f>0.185-0.021</f>
        <v>0.164</v>
      </c>
      <c r="K41" s="31">
        <f t="shared" si="0"/>
        <v>0.19294117647058825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="55" zoomScaleNormal="55" zoomScalePageLayoutView="0" workbookViewId="0" topLeftCell="A1">
      <selection activeCell="N37" sqref="N37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44.25" customHeight="1" thickBot="1">
      <c r="A1" s="1"/>
      <c r="B1" s="34" t="s">
        <v>99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-0.219-0.009-0.061-0.034-0.036</f>
        <v>-0.35900000000000004</v>
      </c>
      <c r="K4" s="31">
        <f>J4/0.85</f>
        <v>-0.42235294117647065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-0.1975-0.092-0.058-0.066-0.04</f>
        <v>-0.45349999999999996</v>
      </c>
      <c r="K5" s="31">
        <f aca="true" t="shared" si="0" ref="K5:K44">J5/0.85</f>
        <v>-0.5335294117647058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f>9-0.35</f>
        <v>8.65</v>
      </c>
      <c r="J6" s="7">
        <f>8.988-0.35</f>
        <v>8.638</v>
      </c>
      <c r="K6" s="31">
        <f t="shared" si="0"/>
        <v>10.16235294117647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0.671-0.004-0.023</f>
        <v>0.644</v>
      </c>
      <c r="J7" s="7">
        <f>0.638-0.004-0.023</f>
        <v>0.611</v>
      </c>
      <c r="K7" s="31">
        <f t="shared" si="0"/>
        <v>0.7188235294117648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-0.054-0.012-0.007</f>
        <v>-0.07300000000000001</v>
      </c>
      <c r="K9" s="31">
        <f t="shared" si="0"/>
        <v>-0.08588235294117648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0.49-0.002-0.032-0.0155</f>
        <v>0.44049999999999995</v>
      </c>
      <c r="J10" s="7">
        <f>0.49-0.002-0.032-0.0155</f>
        <v>0.44049999999999995</v>
      </c>
      <c r="K10" s="31">
        <f t="shared" si="0"/>
        <v>0.518235294117647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</f>
        <v>-0.022</v>
      </c>
      <c r="K11" s="31">
        <f t="shared" si="0"/>
        <v>-0.02588235294117647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4.544705882352941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 t="shared" si="0"/>
        <v>1.8717647058823532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f>2.47-0.007-0.007-0.011</f>
        <v>2.445</v>
      </c>
      <c r="J14" s="7">
        <f>2.47-0.007-0.007-0.011</f>
        <v>2.445</v>
      </c>
      <c r="K14" s="31">
        <f t="shared" si="0"/>
        <v>2.876470588235294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0"/>
        <v>2.267058823529412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3.079-0.014-0.021-0.009-0.015</f>
        <v>3.0200000000000005</v>
      </c>
      <c r="J16" s="7">
        <f>3.04-0.014-0.021-0.009-0.015</f>
        <v>2.9810000000000003</v>
      </c>
      <c r="K16" s="31">
        <f t="shared" si="0"/>
        <v>3.5070588235294125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</f>
        <v>1.425</v>
      </c>
      <c r="J17" s="7">
        <f>1.432-0.007</f>
        <v>1.425</v>
      </c>
      <c r="K17" s="31">
        <f t="shared" si="0"/>
        <v>1.6764705882352942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f>1.48-0.012</f>
        <v>1.468</v>
      </c>
      <c r="J19" s="7">
        <f>1.48-0.012</f>
        <v>1.468</v>
      </c>
      <c r="K19" s="31">
        <f t="shared" si="0"/>
        <v>1.7270588235294118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f>1.703-0.009-0.008</f>
        <v>1.6860000000000002</v>
      </c>
      <c r="J20" s="7">
        <f>1.703-0.009-0.008</f>
        <v>1.6860000000000002</v>
      </c>
      <c r="K20" s="31">
        <f t="shared" si="0"/>
        <v>1.9835294117647062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</f>
        <v>0.6859999999999999</v>
      </c>
      <c r="J21" s="7">
        <f>0.693-0.007</f>
        <v>0.6859999999999999</v>
      </c>
      <c r="K21" s="31">
        <f t="shared" si="0"/>
        <v>0.8070588235294117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</f>
        <v>0.879</v>
      </c>
      <c r="J22" s="7">
        <f>0.89-0.011</f>
        <v>0.879</v>
      </c>
      <c r="K22" s="31">
        <f t="shared" si="0"/>
        <v>1.0341176470588236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0.329-0.034-0.021-0.012</f>
        <v>0.262</v>
      </c>
      <c r="J23" s="7">
        <f>0.329-0.034-0.021-0.012</f>
        <v>0.262</v>
      </c>
      <c r="K23" s="31">
        <f t="shared" si="0"/>
        <v>0.30823529411764705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f>0.79-0.015</f>
        <v>0.775</v>
      </c>
      <c r="J25" s="7">
        <f>0.79-0.015</f>
        <v>0.775</v>
      </c>
      <c r="K25" s="31">
        <f t="shared" si="0"/>
        <v>0.911764705882353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0"/>
        <v>-0.04352941176470589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</f>
        <v>2.669</v>
      </c>
      <c r="J27" s="7">
        <f>2.69-0.021</f>
        <v>2.669</v>
      </c>
      <c r="K27" s="31">
        <f t="shared" si="0"/>
        <v>3.14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0"/>
        <v>1.4423529411764708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1.98-0.011-0.007</f>
        <v>1.9620000000000002</v>
      </c>
      <c r="J29" s="7">
        <f>1.98-0.011-0.007</f>
        <v>1.9620000000000002</v>
      </c>
      <c r="K29" s="31">
        <f t="shared" si="0"/>
        <v>2.3082352941176474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0.395-0.007-0.007</f>
        <v>0.381</v>
      </c>
      <c r="J30" s="7">
        <f>0.387-0.007-0.007</f>
        <v>0.373</v>
      </c>
      <c r="K30" s="31">
        <f t="shared" si="0"/>
        <v>0.4388235294117647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1.1-0.014-0.007</f>
        <v>1.0790000000000002</v>
      </c>
      <c r="J31" s="7">
        <f>1.1-0.014-0.007</f>
        <v>1.0790000000000002</v>
      </c>
      <c r="K31" s="31">
        <f t="shared" si="0"/>
        <v>1.2694117647058827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0"/>
        <v>0.9964705882352941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0"/>
        <v>0.9305882352941177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</f>
        <v>1.7650000000000001</v>
      </c>
      <c r="J35" s="7">
        <f>1.79-0.025</f>
        <v>1.7650000000000001</v>
      </c>
      <c r="K35" s="31">
        <f t="shared" si="0"/>
        <v>2.0764705882352943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1.52-0.007-0.04</f>
        <v>1.473</v>
      </c>
      <c r="J36" s="7">
        <f>1.52-0.007-0.04</f>
        <v>1.473</v>
      </c>
      <c r="K36" s="31">
        <f t="shared" si="0"/>
        <v>1.7329411764705884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1.7-0.01-0.009</f>
        <v>1.681</v>
      </c>
      <c r="J37" s="7">
        <f>1.659-0.01-0.009</f>
        <v>1.6400000000000001</v>
      </c>
      <c r="K37" s="31">
        <f t="shared" si="0"/>
        <v>1.9294117647058826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-0.132-0.014-0.005-0.022-0.014</f>
        <v>-0.18700000000000003</v>
      </c>
      <c r="K38" s="31">
        <f t="shared" si="0"/>
        <v>-0.22000000000000003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f>18.093-0.011</f>
        <v>18.082</v>
      </c>
      <c r="J39" s="7">
        <f>18.055-0.011</f>
        <v>18.044</v>
      </c>
      <c r="K39" s="31">
        <f t="shared" si="0"/>
        <v>21.22823529411765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-0.199-0.012-0.006-0.447</f>
        <v>-0.664</v>
      </c>
      <c r="K40" s="31">
        <f t="shared" si="0"/>
        <v>-0.7811764705882354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</f>
        <v>0.17300000000000001</v>
      </c>
      <c r="J41" s="7">
        <f>0.185-0.021</f>
        <v>0.164</v>
      </c>
      <c r="K41" s="31">
        <f t="shared" si="0"/>
        <v>0.19294117647058825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0">
      <selection activeCell="A1" sqref="A1:K44"/>
    </sheetView>
  </sheetViews>
  <sheetFormatPr defaultColWidth="9.140625" defaultRowHeight="15"/>
  <cols>
    <col min="1" max="1" width="1.8515625" style="0" customWidth="1"/>
    <col min="2" max="2" width="8.28125" style="0" customWidth="1"/>
    <col min="3" max="3" width="19.421875" style="0" customWidth="1"/>
    <col min="4" max="4" width="15.140625" style="0" customWidth="1"/>
    <col min="5" max="6" width="8.8515625" style="0" customWidth="1"/>
    <col min="7" max="7" width="7.7109375" style="0" customWidth="1"/>
    <col min="8" max="8" width="8.00390625" style="0" customWidth="1"/>
    <col min="9" max="9" width="24.00390625" style="0" customWidth="1"/>
    <col min="10" max="10" width="26.7109375" style="0" customWidth="1"/>
    <col min="11" max="11" width="48.57421875" style="0" customWidth="1"/>
  </cols>
  <sheetData>
    <row r="1" spans="1:11" ht="19.5" thickBot="1">
      <c r="A1" s="1"/>
      <c r="B1" s="34" t="s">
        <v>107</v>
      </c>
      <c r="C1" s="34"/>
      <c r="D1" s="34"/>
      <c r="E1" s="34"/>
      <c r="F1" s="34"/>
      <c r="G1" s="34"/>
      <c r="H1" s="34"/>
      <c r="I1" s="34"/>
      <c r="J1" s="35"/>
      <c r="K1" s="35"/>
    </row>
    <row r="2" spans="1:11" ht="15.75" thickTop="1">
      <c r="A2" s="36"/>
      <c r="B2" s="41" t="s">
        <v>1</v>
      </c>
      <c r="C2" s="43" t="s">
        <v>8</v>
      </c>
      <c r="D2" s="43" t="s">
        <v>9</v>
      </c>
      <c r="E2" s="45" t="s">
        <v>2</v>
      </c>
      <c r="F2" s="46"/>
      <c r="G2" s="46"/>
      <c r="H2" s="47"/>
      <c r="I2" s="39" t="s">
        <v>94</v>
      </c>
      <c r="J2" s="40"/>
      <c r="K2" s="37" t="s">
        <v>7</v>
      </c>
    </row>
    <row r="3" spans="1:11" ht="43.5" thickBot="1">
      <c r="A3" s="36"/>
      <c r="B3" s="42"/>
      <c r="C3" s="44"/>
      <c r="D3" s="44"/>
      <c r="E3" s="3" t="s">
        <v>3</v>
      </c>
      <c r="F3" s="3" t="s">
        <v>4</v>
      </c>
      <c r="G3" s="4" t="s">
        <v>5</v>
      </c>
      <c r="H3" s="4" t="s">
        <v>6</v>
      </c>
      <c r="I3" s="4" t="s">
        <v>0</v>
      </c>
      <c r="J3" s="4" t="s">
        <v>10</v>
      </c>
      <c r="K3" s="48"/>
    </row>
    <row r="4" spans="1:11" ht="15">
      <c r="A4" s="1"/>
      <c r="B4" s="8" t="s">
        <v>11</v>
      </c>
      <c r="C4" s="9" t="s">
        <v>12</v>
      </c>
      <c r="D4" s="10" t="s">
        <v>13</v>
      </c>
      <c r="E4" s="13">
        <v>10</v>
      </c>
      <c r="F4" s="13">
        <v>10</v>
      </c>
      <c r="G4" s="13">
        <v>10</v>
      </c>
      <c r="H4" s="13">
        <v>10</v>
      </c>
      <c r="I4" s="22">
        <v>0</v>
      </c>
      <c r="J4" s="22">
        <f>-0.219-0.009-0.061-0.034-0.036-0.195</f>
        <v>-0.554</v>
      </c>
      <c r="K4" s="31">
        <f>J4/0.85</f>
        <v>-0.651764705882353</v>
      </c>
    </row>
    <row r="5" spans="1:11" ht="15">
      <c r="A5" s="1"/>
      <c r="B5" s="11" t="s">
        <v>14</v>
      </c>
      <c r="C5" s="12" t="s">
        <v>15</v>
      </c>
      <c r="D5" s="7" t="s">
        <v>16</v>
      </c>
      <c r="E5" s="14">
        <v>10</v>
      </c>
      <c r="F5" s="14">
        <v>10</v>
      </c>
      <c r="G5" s="14">
        <v>6.3</v>
      </c>
      <c r="H5" s="19">
        <v>0</v>
      </c>
      <c r="I5" s="7">
        <v>0</v>
      </c>
      <c r="J5" s="7">
        <f>-0.1975-0.092-0.058-0.066-0.04-0.0655</f>
        <v>-0.5189999999999999</v>
      </c>
      <c r="K5" s="31">
        <f aca="true" t="shared" si="0" ref="K5:K44">J5/0.85</f>
        <v>-0.6105882352941175</v>
      </c>
    </row>
    <row r="6" spans="1:11" ht="15">
      <c r="A6" s="1"/>
      <c r="B6" s="11" t="s">
        <v>17</v>
      </c>
      <c r="C6" s="12" t="s">
        <v>18</v>
      </c>
      <c r="D6" s="7" t="s">
        <v>16</v>
      </c>
      <c r="E6" s="14">
        <v>16</v>
      </c>
      <c r="F6" s="19">
        <v>0</v>
      </c>
      <c r="G6" s="19">
        <v>0</v>
      </c>
      <c r="H6" s="19">
        <v>0</v>
      </c>
      <c r="I6" s="7">
        <f>9-0.35</f>
        <v>8.65</v>
      </c>
      <c r="J6" s="7">
        <f>8.988-0.35</f>
        <v>8.638</v>
      </c>
      <c r="K6" s="31">
        <f t="shared" si="0"/>
        <v>10.16235294117647</v>
      </c>
    </row>
    <row r="7" spans="1:11" ht="15">
      <c r="A7" s="1"/>
      <c r="B7" s="11" t="s">
        <v>19</v>
      </c>
      <c r="C7" s="12" t="s">
        <v>20</v>
      </c>
      <c r="D7" s="7" t="s">
        <v>16</v>
      </c>
      <c r="E7" s="14">
        <v>2.5</v>
      </c>
      <c r="F7" s="14">
        <v>2.5</v>
      </c>
      <c r="G7" s="19">
        <v>0</v>
      </c>
      <c r="H7" s="19">
        <v>0</v>
      </c>
      <c r="I7" s="7">
        <f>0.671-0.004-0.023</f>
        <v>0.644</v>
      </c>
      <c r="J7" s="7">
        <f>0.638-0.004-0.023</f>
        <v>0.611</v>
      </c>
      <c r="K7" s="31">
        <f t="shared" si="0"/>
        <v>0.7188235294117648</v>
      </c>
    </row>
    <row r="8" spans="1:11" ht="15">
      <c r="A8" s="1"/>
      <c r="B8" s="11" t="s">
        <v>21</v>
      </c>
      <c r="C8" s="12" t="s">
        <v>22</v>
      </c>
      <c r="D8" s="7" t="s">
        <v>13</v>
      </c>
      <c r="E8" s="14">
        <v>6.3</v>
      </c>
      <c r="F8" s="19">
        <v>0</v>
      </c>
      <c r="G8" s="19">
        <v>0</v>
      </c>
      <c r="H8" s="19">
        <v>0</v>
      </c>
      <c r="I8" s="7">
        <v>2.39</v>
      </c>
      <c r="J8" s="7">
        <v>2.381</v>
      </c>
      <c r="K8" s="31">
        <f t="shared" si="0"/>
        <v>2.801176470588235</v>
      </c>
    </row>
    <row r="9" spans="1:11" ht="15">
      <c r="A9" s="1"/>
      <c r="B9" s="11" t="s">
        <v>23</v>
      </c>
      <c r="C9" s="12" t="s">
        <v>24</v>
      </c>
      <c r="D9" s="7" t="s">
        <v>13</v>
      </c>
      <c r="E9" s="14">
        <v>6.3</v>
      </c>
      <c r="F9" s="14">
        <v>6.3</v>
      </c>
      <c r="G9" s="19">
        <v>0</v>
      </c>
      <c r="H9" s="19">
        <v>0</v>
      </c>
      <c r="I9" s="7">
        <v>0</v>
      </c>
      <c r="J9" s="7">
        <f>-0.054-0.012-0.007</f>
        <v>-0.07300000000000001</v>
      </c>
      <c r="K9" s="31">
        <f t="shared" si="0"/>
        <v>-0.08588235294117648</v>
      </c>
    </row>
    <row r="10" spans="1:11" ht="15">
      <c r="A10" s="1"/>
      <c r="B10" s="11" t="s">
        <v>25</v>
      </c>
      <c r="C10" s="12" t="s">
        <v>26</v>
      </c>
      <c r="D10" s="7" t="s">
        <v>13</v>
      </c>
      <c r="E10" s="14">
        <v>6.3</v>
      </c>
      <c r="F10" s="19">
        <v>0</v>
      </c>
      <c r="G10" s="19">
        <v>0</v>
      </c>
      <c r="H10" s="19">
        <v>0</v>
      </c>
      <c r="I10" s="7">
        <f>0.49-0.002-0.032-0.0155</f>
        <v>0.44049999999999995</v>
      </c>
      <c r="J10" s="7">
        <f>0.49-0.002-0.032-0.0155</f>
        <v>0.44049999999999995</v>
      </c>
      <c r="K10" s="31">
        <f t="shared" si="0"/>
        <v>0.518235294117647</v>
      </c>
    </row>
    <row r="11" spans="1:11" ht="15">
      <c r="A11" s="1"/>
      <c r="B11" s="11" t="s">
        <v>27</v>
      </c>
      <c r="C11" s="12" t="s">
        <v>28</v>
      </c>
      <c r="D11" s="7" t="s">
        <v>13</v>
      </c>
      <c r="E11" s="14">
        <v>6.3</v>
      </c>
      <c r="F11" s="23">
        <v>4</v>
      </c>
      <c r="G11" s="19">
        <v>0</v>
      </c>
      <c r="H11" s="19">
        <v>0</v>
      </c>
      <c r="I11" s="7">
        <v>0</v>
      </c>
      <c r="J11" s="7">
        <f>0-0.015-0.007-0.0145</f>
        <v>-0.0365</v>
      </c>
      <c r="K11" s="31">
        <f t="shared" si="0"/>
        <v>-0.04294117647058823</v>
      </c>
    </row>
    <row r="12" spans="1:11" ht="15">
      <c r="A12" s="1"/>
      <c r="B12" s="11" t="s">
        <v>29</v>
      </c>
      <c r="C12" s="12" t="s">
        <v>30</v>
      </c>
      <c r="D12" s="7" t="s">
        <v>16</v>
      </c>
      <c r="E12" s="14">
        <v>6.3</v>
      </c>
      <c r="F12" s="19">
        <v>0</v>
      </c>
      <c r="G12" s="19">
        <v>0</v>
      </c>
      <c r="H12" s="19">
        <v>0</v>
      </c>
      <c r="I12" s="7">
        <v>3.871</v>
      </c>
      <c r="J12" s="7">
        <v>3.863</v>
      </c>
      <c r="K12" s="31">
        <f t="shared" si="0"/>
        <v>4.544705882352941</v>
      </c>
    </row>
    <row r="13" spans="1:11" ht="15">
      <c r="A13" s="1"/>
      <c r="B13" s="11" t="s">
        <v>31</v>
      </c>
      <c r="C13" s="12" t="s">
        <v>32</v>
      </c>
      <c r="D13" s="7" t="s">
        <v>16</v>
      </c>
      <c r="E13" s="14">
        <v>2.5</v>
      </c>
      <c r="F13" s="19">
        <v>0</v>
      </c>
      <c r="G13" s="19">
        <v>0</v>
      </c>
      <c r="H13" s="19">
        <v>0</v>
      </c>
      <c r="I13" s="7">
        <f>1.61-0.019</f>
        <v>1.5910000000000002</v>
      </c>
      <c r="J13" s="7">
        <f>1.61-0.019</f>
        <v>1.5910000000000002</v>
      </c>
      <c r="K13" s="31">
        <f t="shared" si="0"/>
        <v>1.8717647058823532</v>
      </c>
    </row>
    <row r="14" spans="1:11" ht="15">
      <c r="A14" s="1"/>
      <c r="B14" s="11" t="s">
        <v>33</v>
      </c>
      <c r="C14" s="12" t="s">
        <v>34</v>
      </c>
      <c r="D14" s="7" t="s">
        <v>97</v>
      </c>
      <c r="E14" s="14">
        <v>6.3</v>
      </c>
      <c r="F14" s="14">
        <v>6.3</v>
      </c>
      <c r="G14" s="19">
        <v>0</v>
      </c>
      <c r="H14" s="19">
        <v>0</v>
      </c>
      <c r="I14" s="7">
        <f>2.47-0.007-0.007-0.011</f>
        <v>2.445</v>
      </c>
      <c r="J14" s="7">
        <f>2.47-0.007-0.007-0.011</f>
        <v>2.445</v>
      </c>
      <c r="K14" s="31">
        <f t="shared" si="0"/>
        <v>2.876470588235294</v>
      </c>
    </row>
    <row r="15" spans="1:11" ht="15">
      <c r="A15" s="1"/>
      <c r="B15" s="11" t="s">
        <v>35</v>
      </c>
      <c r="C15" s="12" t="s">
        <v>36</v>
      </c>
      <c r="D15" s="7" t="s">
        <v>16</v>
      </c>
      <c r="E15" s="14">
        <v>2.5</v>
      </c>
      <c r="F15" s="19">
        <v>0</v>
      </c>
      <c r="G15" s="19">
        <v>0</v>
      </c>
      <c r="H15" s="19">
        <v>0</v>
      </c>
      <c r="I15" s="7">
        <f>1.95-0.014</f>
        <v>1.936</v>
      </c>
      <c r="J15" s="7">
        <f>1.941-0.014</f>
        <v>1.927</v>
      </c>
      <c r="K15" s="31">
        <f t="shared" si="0"/>
        <v>2.267058823529412</v>
      </c>
    </row>
    <row r="16" spans="1:11" ht="15">
      <c r="A16" s="1"/>
      <c r="B16" s="11" t="s">
        <v>37</v>
      </c>
      <c r="C16" s="12" t="s">
        <v>38</v>
      </c>
      <c r="D16" s="7" t="s">
        <v>13</v>
      </c>
      <c r="E16" s="14">
        <v>6.3</v>
      </c>
      <c r="F16" s="19">
        <v>0</v>
      </c>
      <c r="G16" s="19">
        <v>0</v>
      </c>
      <c r="H16" s="19">
        <v>0</v>
      </c>
      <c r="I16" s="7">
        <f>3.079-0.014-0.021-0.009-0.015-0.02</f>
        <v>3.0000000000000004</v>
      </c>
      <c r="J16" s="7">
        <f>3.04-0.014-0.021-0.009-0.015-0.02</f>
        <v>2.9610000000000003</v>
      </c>
      <c r="K16" s="31">
        <f t="shared" si="0"/>
        <v>3.483529411764706</v>
      </c>
    </row>
    <row r="17" spans="1:11" ht="15">
      <c r="A17" s="1"/>
      <c r="B17" s="11" t="s">
        <v>39</v>
      </c>
      <c r="C17" s="12" t="s">
        <v>40</v>
      </c>
      <c r="D17" s="7" t="s">
        <v>16</v>
      </c>
      <c r="E17" s="14">
        <v>2.5</v>
      </c>
      <c r="F17" s="19">
        <v>0</v>
      </c>
      <c r="G17" s="19">
        <v>0</v>
      </c>
      <c r="H17" s="19">
        <v>0</v>
      </c>
      <c r="I17" s="7">
        <f>1.432-0.007-0.006</f>
        <v>1.419</v>
      </c>
      <c r="J17" s="7">
        <f>1.432-0.007-0.006</f>
        <v>1.419</v>
      </c>
      <c r="K17" s="31">
        <f t="shared" si="0"/>
        <v>1.6694117647058824</v>
      </c>
    </row>
    <row r="18" spans="1:11" ht="15">
      <c r="A18" s="1"/>
      <c r="B18" s="11" t="s">
        <v>41</v>
      </c>
      <c r="C18" s="12" t="s">
        <v>42</v>
      </c>
      <c r="D18" s="7" t="s">
        <v>16</v>
      </c>
      <c r="E18" s="14">
        <v>6.3</v>
      </c>
      <c r="F18" s="19">
        <v>0</v>
      </c>
      <c r="G18" s="19">
        <v>0</v>
      </c>
      <c r="H18" s="19">
        <v>0</v>
      </c>
      <c r="I18" s="7">
        <v>5.59</v>
      </c>
      <c r="J18" s="7">
        <v>5.59</v>
      </c>
      <c r="K18" s="31">
        <f t="shared" si="0"/>
        <v>6.576470588235294</v>
      </c>
    </row>
    <row r="19" spans="1:11" ht="15">
      <c r="A19" s="1"/>
      <c r="B19" s="11" t="s">
        <v>43</v>
      </c>
      <c r="C19" s="12" t="s">
        <v>44</v>
      </c>
      <c r="D19" s="7" t="s">
        <v>45</v>
      </c>
      <c r="E19" s="14">
        <v>4</v>
      </c>
      <c r="F19" s="19">
        <v>0</v>
      </c>
      <c r="G19" s="19">
        <v>0</v>
      </c>
      <c r="H19" s="19">
        <v>0</v>
      </c>
      <c r="I19" s="7">
        <f>1.48-0.012-0.009</f>
        <v>1.459</v>
      </c>
      <c r="J19" s="7">
        <f>1.48-0.012-0.009</f>
        <v>1.459</v>
      </c>
      <c r="K19" s="31">
        <f t="shared" si="0"/>
        <v>1.7164705882352942</v>
      </c>
    </row>
    <row r="20" spans="1:11" ht="15">
      <c r="A20" s="1"/>
      <c r="B20" s="11" t="s">
        <v>46</v>
      </c>
      <c r="C20" s="12" t="s">
        <v>47</v>
      </c>
      <c r="D20" s="7" t="s">
        <v>45</v>
      </c>
      <c r="E20" s="14">
        <v>4</v>
      </c>
      <c r="F20" s="19">
        <v>0</v>
      </c>
      <c r="G20" s="19">
        <v>0</v>
      </c>
      <c r="H20" s="19">
        <v>0</v>
      </c>
      <c r="I20" s="7">
        <f>1.703-0.009-0.008-0.015</f>
        <v>1.6710000000000003</v>
      </c>
      <c r="J20" s="7">
        <f>1.703-0.009-0.008-0.015</f>
        <v>1.6710000000000003</v>
      </c>
      <c r="K20" s="31">
        <f t="shared" si="0"/>
        <v>1.9658823529411769</v>
      </c>
    </row>
    <row r="21" spans="1:11" ht="15">
      <c r="A21" s="1"/>
      <c r="B21" s="11" t="s">
        <v>48</v>
      </c>
      <c r="C21" s="12" t="s">
        <v>49</v>
      </c>
      <c r="D21" s="7" t="s">
        <v>45</v>
      </c>
      <c r="E21" s="14">
        <v>1.6</v>
      </c>
      <c r="F21" s="19">
        <v>0</v>
      </c>
      <c r="G21" s="19">
        <v>0</v>
      </c>
      <c r="H21" s="19">
        <v>0</v>
      </c>
      <c r="I21" s="7">
        <f>0.693-0.007-0.007</f>
        <v>0.6789999999999999</v>
      </c>
      <c r="J21" s="7">
        <f>0.693-0.007-0.007</f>
        <v>0.6789999999999999</v>
      </c>
      <c r="K21" s="31">
        <f t="shared" si="0"/>
        <v>0.7988235294117646</v>
      </c>
    </row>
    <row r="22" spans="1:11" ht="15">
      <c r="A22" s="1"/>
      <c r="B22" s="11" t="s">
        <v>50</v>
      </c>
      <c r="C22" s="12" t="s">
        <v>51</v>
      </c>
      <c r="D22" s="7" t="s">
        <v>45</v>
      </c>
      <c r="E22" s="14">
        <v>1.6</v>
      </c>
      <c r="F22" s="19">
        <v>0</v>
      </c>
      <c r="G22" s="19">
        <v>0</v>
      </c>
      <c r="H22" s="19">
        <v>0</v>
      </c>
      <c r="I22" s="7">
        <f>0.89-0.011</f>
        <v>0.879</v>
      </c>
      <c r="J22" s="7">
        <f>0.89-0.011</f>
        <v>0.879</v>
      </c>
      <c r="K22" s="31">
        <f t="shared" si="0"/>
        <v>1.0341176470588236</v>
      </c>
    </row>
    <row r="23" spans="1:11" ht="15">
      <c r="A23" s="1"/>
      <c r="B23" s="11" t="s">
        <v>52</v>
      </c>
      <c r="C23" s="12" t="s">
        <v>53</v>
      </c>
      <c r="D23" s="7" t="s">
        <v>45</v>
      </c>
      <c r="E23" s="7">
        <v>2.5</v>
      </c>
      <c r="F23" s="7">
        <v>0</v>
      </c>
      <c r="G23" s="19">
        <v>0</v>
      </c>
      <c r="H23" s="19">
        <v>0</v>
      </c>
      <c r="I23" s="7">
        <f>0.329-0.034-0.021-0.012-0.001</f>
        <v>0.261</v>
      </c>
      <c r="J23" s="7">
        <f>0.329-0.034-0.021-0.012-0.001</f>
        <v>0.261</v>
      </c>
      <c r="K23" s="31">
        <f t="shared" si="0"/>
        <v>0.3070588235294118</v>
      </c>
    </row>
    <row r="24" spans="1:11" ht="15">
      <c r="A24" s="1"/>
      <c r="B24" s="11" t="s">
        <v>54</v>
      </c>
      <c r="C24" s="12" t="s">
        <v>55</v>
      </c>
      <c r="D24" s="7" t="s">
        <v>45</v>
      </c>
      <c r="E24" s="14">
        <v>1</v>
      </c>
      <c r="F24" s="14">
        <v>2.5</v>
      </c>
      <c r="G24" s="19">
        <v>0</v>
      </c>
      <c r="H24" s="19">
        <v>0</v>
      </c>
      <c r="I24" s="7">
        <v>0</v>
      </c>
      <c r="J24" s="7">
        <v>0</v>
      </c>
      <c r="K24" s="31">
        <f t="shared" si="0"/>
        <v>0</v>
      </c>
    </row>
    <row r="25" spans="1:11" ht="15">
      <c r="A25" s="1"/>
      <c r="B25" s="11" t="s">
        <v>56</v>
      </c>
      <c r="C25" s="12" t="s">
        <v>57</v>
      </c>
      <c r="D25" s="7" t="s">
        <v>45</v>
      </c>
      <c r="E25" s="14">
        <v>1.6</v>
      </c>
      <c r="F25" s="19">
        <v>0</v>
      </c>
      <c r="G25" s="19">
        <v>0</v>
      </c>
      <c r="H25" s="19">
        <v>0</v>
      </c>
      <c r="I25" s="7">
        <f>0.79-0.015</f>
        <v>0.775</v>
      </c>
      <c r="J25" s="7">
        <f>0.79-0.015</f>
        <v>0.775</v>
      </c>
      <c r="K25" s="31">
        <f t="shared" si="0"/>
        <v>0.911764705882353</v>
      </c>
    </row>
    <row r="26" spans="1:11" ht="15">
      <c r="A26" s="1"/>
      <c r="B26" s="11" t="s">
        <v>58</v>
      </c>
      <c r="C26" s="12" t="s">
        <v>59</v>
      </c>
      <c r="D26" s="7" t="s">
        <v>45</v>
      </c>
      <c r="E26" s="14">
        <v>1</v>
      </c>
      <c r="F26" s="19">
        <v>0</v>
      </c>
      <c r="G26" s="19">
        <v>0</v>
      </c>
      <c r="H26" s="19">
        <v>0</v>
      </c>
      <c r="I26" s="7">
        <v>0</v>
      </c>
      <c r="J26" s="7">
        <f>-0.016-0.021</f>
        <v>-0.037000000000000005</v>
      </c>
      <c r="K26" s="31">
        <f t="shared" si="0"/>
        <v>-0.04352941176470589</v>
      </c>
    </row>
    <row r="27" spans="1:11" ht="15">
      <c r="A27" s="1"/>
      <c r="B27" s="11" t="s">
        <v>60</v>
      </c>
      <c r="C27" s="12" t="s">
        <v>61</v>
      </c>
      <c r="D27" s="7" t="s">
        <v>45</v>
      </c>
      <c r="E27" s="14">
        <v>4</v>
      </c>
      <c r="F27" s="19">
        <v>0</v>
      </c>
      <c r="G27" s="19">
        <v>0</v>
      </c>
      <c r="H27" s="19">
        <v>0</v>
      </c>
      <c r="I27" s="7">
        <f>2.69-0.021-0.001</f>
        <v>2.668</v>
      </c>
      <c r="J27" s="7">
        <f>2.69-0.021-0.001</f>
        <v>2.668</v>
      </c>
      <c r="K27" s="31">
        <f t="shared" si="0"/>
        <v>3.138823529411765</v>
      </c>
    </row>
    <row r="28" spans="1:11" ht="15">
      <c r="A28" s="1"/>
      <c r="B28" s="15" t="s">
        <v>62</v>
      </c>
      <c r="C28" s="16" t="s">
        <v>63</v>
      </c>
      <c r="D28" s="17" t="s">
        <v>45</v>
      </c>
      <c r="E28" s="18">
        <v>1.6</v>
      </c>
      <c r="F28" s="20">
        <v>0</v>
      </c>
      <c r="G28" s="20">
        <v>0</v>
      </c>
      <c r="H28" s="20">
        <v>0</v>
      </c>
      <c r="I28" s="17">
        <f>1.24-0.007</f>
        <v>1.233</v>
      </c>
      <c r="J28" s="17">
        <f>1.233-0.007</f>
        <v>1.2260000000000002</v>
      </c>
      <c r="K28" s="31">
        <f t="shared" si="0"/>
        <v>1.4423529411764708</v>
      </c>
    </row>
    <row r="29" spans="1:11" ht="15">
      <c r="A29" s="1"/>
      <c r="B29" s="7" t="s">
        <v>64</v>
      </c>
      <c r="C29" s="12" t="s">
        <v>65</v>
      </c>
      <c r="D29" s="7" t="s">
        <v>45</v>
      </c>
      <c r="E29" s="7">
        <v>2.95</v>
      </c>
      <c r="F29" s="7">
        <v>0</v>
      </c>
      <c r="G29" s="7">
        <v>0</v>
      </c>
      <c r="H29" s="19">
        <v>0</v>
      </c>
      <c r="I29" s="7">
        <f>1.98-0.011-0.007</f>
        <v>1.9620000000000002</v>
      </c>
      <c r="J29" s="7">
        <f>1.98-0.011-0.007</f>
        <v>1.9620000000000002</v>
      </c>
      <c r="K29" s="31">
        <f t="shared" si="0"/>
        <v>2.3082352941176474</v>
      </c>
    </row>
    <row r="30" spans="1:11" ht="15">
      <c r="A30" s="1"/>
      <c r="B30" s="7" t="s">
        <v>66</v>
      </c>
      <c r="C30" s="12" t="s">
        <v>67</v>
      </c>
      <c r="D30" s="7" t="s">
        <v>45</v>
      </c>
      <c r="E30" s="7">
        <v>2.5</v>
      </c>
      <c r="F30" s="7">
        <v>0</v>
      </c>
      <c r="G30" s="7">
        <v>0</v>
      </c>
      <c r="H30" s="19">
        <v>0</v>
      </c>
      <c r="I30" s="7">
        <f>0.395-0.007-0.007-0.009</f>
        <v>0.372</v>
      </c>
      <c r="J30" s="7">
        <f>0.387-0.007-0.007-0.009</f>
        <v>0.364</v>
      </c>
      <c r="K30" s="31">
        <f t="shared" si="0"/>
        <v>0.42823529411764705</v>
      </c>
    </row>
    <row r="31" spans="1:11" ht="15">
      <c r="A31" s="1"/>
      <c r="B31" s="7" t="s">
        <v>68</v>
      </c>
      <c r="C31" s="12" t="s">
        <v>69</v>
      </c>
      <c r="D31" s="7" t="s">
        <v>45</v>
      </c>
      <c r="E31" s="7">
        <v>1.6</v>
      </c>
      <c r="F31" s="7">
        <v>0</v>
      </c>
      <c r="G31" s="7">
        <v>0</v>
      </c>
      <c r="H31" s="19">
        <v>0</v>
      </c>
      <c r="I31" s="7">
        <f>1.1-0.014-0.007</f>
        <v>1.0790000000000002</v>
      </c>
      <c r="J31" s="7">
        <f>1.1-0.014-0.007</f>
        <v>1.0790000000000002</v>
      </c>
      <c r="K31" s="31">
        <f t="shared" si="0"/>
        <v>1.2694117647058827</v>
      </c>
    </row>
    <row r="32" spans="1:11" ht="15">
      <c r="A32" s="1"/>
      <c r="B32" s="7" t="s">
        <v>70</v>
      </c>
      <c r="C32" s="12" t="s">
        <v>71</v>
      </c>
      <c r="D32" s="7" t="s">
        <v>45</v>
      </c>
      <c r="E32" s="7">
        <v>1.6</v>
      </c>
      <c r="F32" s="7">
        <v>0</v>
      </c>
      <c r="G32" s="7">
        <v>0</v>
      </c>
      <c r="H32" s="19">
        <v>0</v>
      </c>
      <c r="I32" s="7">
        <v>0.849</v>
      </c>
      <c r="J32" s="7">
        <v>0.847</v>
      </c>
      <c r="K32" s="31">
        <f t="shared" si="0"/>
        <v>0.9964705882352941</v>
      </c>
    </row>
    <row r="33" spans="1:11" ht="15">
      <c r="A33" s="1"/>
      <c r="B33" s="7" t="s">
        <v>72</v>
      </c>
      <c r="C33" s="12" t="s">
        <v>73</v>
      </c>
      <c r="D33" s="7" t="s">
        <v>45</v>
      </c>
      <c r="E33" s="14">
        <v>1</v>
      </c>
      <c r="F33" s="7">
        <v>0</v>
      </c>
      <c r="G33" s="7">
        <v>0</v>
      </c>
      <c r="H33" s="7">
        <v>0</v>
      </c>
      <c r="I33" s="7">
        <v>0.5</v>
      </c>
      <c r="J33" s="7">
        <v>0.5</v>
      </c>
      <c r="K33" s="31">
        <f t="shared" si="0"/>
        <v>0.5882352941176471</v>
      </c>
    </row>
    <row r="34" spans="1:11" ht="15">
      <c r="A34" s="1"/>
      <c r="B34" s="7" t="s">
        <v>74</v>
      </c>
      <c r="C34" s="12" t="s">
        <v>75</v>
      </c>
      <c r="D34" s="7" t="s">
        <v>45</v>
      </c>
      <c r="E34" s="14">
        <v>1</v>
      </c>
      <c r="F34" s="7">
        <v>0</v>
      </c>
      <c r="G34" s="7">
        <v>0</v>
      </c>
      <c r="H34" s="7">
        <v>0</v>
      </c>
      <c r="I34" s="7">
        <v>0.791</v>
      </c>
      <c r="J34" s="7">
        <v>0.791</v>
      </c>
      <c r="K34" s="31">
        <f t="shared" si="0"/>
        <v>0.9305882352941177</v>
      </c>
    </row>
    <row r="35" spans="1:11" ht="15">
      <c r="A35" s="1"/>
      <c r="B35" s="7" t="s">
        <v>76</v>
      </c>
      <c r="C35" s="12" t="s">
        <v>77</v>
      </c>
      <c r="D35" s="7" t="s">
        <v>45</v>
      </c>
      <c r="E35" s="7">
        <v>2.5</v>
      </c>
      <c r="F35" s="7">
        <v>0</v>
      </c>
      <c r="G35" s="7">
        <v>0</v>
      </c>
      <c r="H35" s="7">
        <v>0</v>
      </c>
      <c r="I35" s="7">
        <f>1.79-0.025</f>
        <v>1.7650000000000001</v>
      </c>
      <c r="J35" s="7">
        <f>1.79-0.025</f>
        <v>1.7650000000000001</v>
      </c>
      <c r="K35" s="31">
        <f t="shared" si="0"/>
        <v>2.0764705882352943</v>
      </c>
    </row>
    <row r="36" spans="1:11" ht="15">
      <c r="A36" s="1"/>
      <c r="B36" s="7" t="s">
        <v>78</v>
      </c>
      <c r="C36" s="12" t="s">
        <v>79</v>
      </c>
      <c r="D36" s="7" t="s">
        <v>45</v>
      </c>
      <c r="E36" s="7">
        <v>1.8</v>
      </c>
      <c r="F36" s="7">
        <v>0</v>
      </c>
      <c r="G36" s="7">
        <v>0</v>
      </c>
      <c r="H36" s="7">
        <v>0</v>
      </c>
      <c r="I36" s="7">
        <f>1.52-0.007-0.04-0.009</f>
        <v>1.4640000000000002</v>
      </c>
      <c r="J36" s="7">
        <f>1.52-0.007-0.04-0.009</f>
        <v>1.4640000000000002</v>
      </c>
      <c r="K36" s="31">
        <f t="shared" si="0"/>
        <v>1.7223529411764709</v>
      </c>
    </row>
    <row r="37" spans="1:11" ht="15">
      <c r="A37" s="1"/>
      <c r="B37" s="7" t="s">
        <v>80</v>
      </c>
      <c r="C37" s="12" t="s">
        <v>81</v>
      </c>
      <c r="D37" s="7" t="s">
        <v>82</v>
      </c>
      <c r="E37" s="14">
        <v>63</v>
      </c>
      <c r="F37" s="14">
        <v>63</v>
      </c>
      <c r="G37" s="7">
        <v>0</v>
      </c>
      <c r="H37" s="7">
        <v>0</v>
      </c>
      <c r="I37" s="7">
        <f>1.7-0.01-0.009</f>
        <v>1.681</v>
      </c>
      <c r="J37" s="7">
        <f>1.659-0.01-0.009</f>
        <v>1.6400000000000001</v>
      </c>
      <c r="K37" s="31">
        <f t="shared" si="0"/>
        <v>1.9294117647058826</v>
      </c>
    </row>
    <row r="38" spans="1:11" ht="15">
      <c r="A38" s="1"/>
      <c r="B38" s="7" t="s">
        <v>83</v>
      </c>
      <c r="C38" s="12" t="s">
        <v>84</v>
      </c>
      <c r="D38" s="7" t="s">
        <v>85</v>
      </c>
      <c r="E38" s="21">
        <v>32</v>
      </c>
      <c r="F38" s="21">
        <v>32</v>
      </c>
      <c r="G38" s="14">
        <v>30</v>
      </c>
      <c r="H38" s="7">
        <v>0</v>
      </c>
      <c r="I38" s="7">
        <v>0</v>
      </c>
      <c r="J38" s="7">
        <f>-0.132-0.014-0.005-0.022-0.014</f>
        <v>-0.18700000000000003</v>
      </c>
      <c r="K38" s="31">
        <f t="shared" si="0"/>
        <v>-0.22000000000000003</v>
      </c>
    </row>
    <row r="39" spans="1:11" ht="15">
      <c r="A39" s="1"/>
      <c r="B39" s="7" t="s">
        <v>86</v>
      </c>
      <c r="C39" s="12" t="s">
        <v>87</v>
      </c>
      <c r="D39" s="7" t="s">
        <v>88</v>
      </c>
      <c r="E39" s="21">
        <v>25</v>
      </c>
      <c r="F39" s="21">
        <v>25</v>
      </c>
      <c r="G39" s="7">
        <v>0</v>
      </c>
      <c r="H39" s="7">
        <v>0</v>
      </c>
      <c r="I39" s="7">
        <f>18.093-0.011-0.008</f>
        <v>18.074</v>
      </c>
      <c r="J39" s="7">
        <f>18.055-0.011-0.008</f>
        <v>18.036</v>
      </c>
      <c r="K39" s="31">
        <f t="shared" si="0"/>
        <v>21.218823529411768</v>
      </c>
    </row>
    <row r="40" spans="1:11" ht="15">
      <c r="A40" s="1"/>
      <c r="B40" s="7" t="s">
        <v>89</v>
      </c>
      <c r="C40" s="12" t="s">
        <v>90</v>
      </c>
      <c r="D40" s="7" t="s">
        <v>91</v>
      </c>
      <c r="E40" s="21">
        <v>63</v>
      </c>
      <c r="F40" s="21">
        <v>63</v>
      </c>
      <c r="G40" s="7">
        <v>0</v>
      </c>
      <c r="H40" s="7">
        <v>0</v>
      </c>
      <c r="I40" s="7">
        <v>0</v>
      </c>
      <c r="J40" s="7">
        <f>-0.199-0.012-0.006-0.447-0.056</f>
        <v>-0.7200000000000001</v>
      </c>
      <c r="K40" s="31">
        <f t="shared" si="0"/>
        <v>-0.8470588235294119</v>
      </c>
    </row>
    <row r="41" spans="1:11" ht="15">
      <c r="A41" s="1"/>
      <c r="B41" s="7" t="s">
        <v>92</v>
      </c>
      <c r="C41" s="12" t="s">
        <v>93</v>
      </c>
      <c r="D41" s="7" t="s">
        <v>16</v>
      </c>
      <c r="E41" s="7">
        <v>2.5</v>
      </c>
      <c r="F41" s="7">
        <v>0</v>
      </c>
      <c r="G41" s="7">
        <v>0</v>
      </c>
      <c r="H41" s="7">
        <v>0</v>
      </c>
      <c r="I41" s="7">
        <f>0.194-0.021</f>
        <v>0.17300000000000001</v>
      </c>
      <c r="J41" s="7">
        <f>0.185-0.021</f>
        <v>0.164</v>
      </c>
      <c r="K41" s="31">
        <f t="shared" si="0"/>
        <v>0.19294117647058825</v>
      </c>
    </row>
    <row r="42" spans="1:11" ht="15">
      <c r="A42" s="1"/>
      <c r="B42" s="7">
        <v>39</v>
      </c>
      <c r="C42" s="12" t="s">
        <v>95</v>
      </c>
      <c r="D42" s="7" t="s">
        <v>45</v>
      </c>
      <c r="E42" s="7">
        <v>4</v>
      </c>
      <c r="F42" s="7">
        <v>0</v>
      </c>
      <c r="G42" s="7">
        <v>0</v>
      </c>
      <c r="H42" s="7">
        <v>0</v>
      </c>
      <c r="I42" s="7">
        <v>4</v>
      </c>
      <c r="J42" s="7">
        <v>4</v>
      </c>
      <c r="K42" s="31">
        <f t="shared" si="0"/>
        <v>4.705882352941177</v>
      </c>
    </row>
    <row r="43" spans="1:11" ht="15">
      <c r="A43" s="1"/>
      <c r="B43" s="7">
        <v>40</v>
      </c>
      <c r="C43" s="12" t="s">
        <v>96</v>
      </c>
      <c r="D43" s="7" t="s">
        <v>45</v>
      </c>
      <c r="E43" s="7">
        <v>1.8</v>
      </c>
      <c r="F43" s="7">
        <v>0</v>
      </c>
      <c r="G43" s="7">
        <v>0</v>
      </c>
      <c r="H43" s="7">
        <v>0</v>
      </c>
      <c r="I43" s="7">
        <v>1.8</v>
      </c>
      <c r="J43" s="7">
        <v>1.8</v>
      </c>
      <c r="K43" s="31">
        <f t="shared" si="0"/>
        <v>2.1176470588235294</v>
      </c>
    </row>
    <row r="44" spans="1:11" ht="15">
      <c r="A44" s="1"/>
      <c r="B44" s="7">
        <v>41</v>
      </c>
      <c r="C44" s="12" t="s">
        <v>98</v>
      </c>
      <c r="D44" s="7" t="s">
        <v>45</v>
      </c>
      <c r="E44" s="7">
        <v>1</v>
      </c>
      <c r="F44" s="7">
        <v>0</v>
      </c>
      <c r="G44" s="7">
        <v>0</v>
      </c>
      <c r="H44" s="7">
        <v>0</v>
      </c>
      <c r="I44" s="7">
        <v>0.7</v>
      </c>
      <c r="J44" s="7">
        <v>0.7</v>
      </c>
      <c r="K44" s="31">
        <f t="shared" si="0"/>
        <v>0.8235294117647058</v>
      </c>
    </row>
  </sheetData>
  <sheetProtection/>
  <mergeCells count="8">
    <mergeCell ref="B1:K1"/>
    <mergeCell ref="A2:A3"/>
    <mergeCell ref="B2:B3"/>
    <mergeCell ref="C2:C3"/>
    <mergeCell ref="D2:D3"/>
    <mergeCell ref="E2:H2"/>
    <mergeCell ref="I2:J2"/>
    <mergeCell ref="K2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1</cp:lastModifiedBy>
  <cp:lastPrinted>2010-02-09T03:05:44Z</cp:lastPrinted>
  <dcterms:created xsi:type="dcterms:W3CDTF">2009-12-26T06:59:08Z</dcterms:created>
  <dcterms:modified xsi:type="dcterms:W3CDTF">2011-01-19T02:43:59Z</dcterms:modified>
  <cp:category/>
  <cp:version/>
  <cp:contentType/>
  <cp:contentStatus/>
</cp:coreProperties>
</file>